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75" yWindow="645" windowWidth="15480" windowHeight="11640" tabRatio="610" activeTab="0"/>
  </bookViews>
  <sheets>
    <sheet name="Index" sheetId="1" r:id="rId1"/>
    <sheet name="Geography ~ Forests" sheetId="2" r:id="rId2"/>
    <sheet name="DailySun ~ AllOil" sheetId="3" r:id="rId3"/>
    <sheet name="PV &amp; Photosynthesis" sheetId="4" r:id="rId4"/>
    <sheet name="PavedArea" sheetId="5" r:id="rId5"/>
    <sheet name="Switchgrass" sheetId="6" r:id="rId6"/>
    <sheet name="Conversions" sheetId="7" r:id="rId7"/>
  </sheets>
  <definedNames/>
  <calcPr fullCalcOnLoad="1"/>
</workbook>
</file>

<file path=xl/sharedStrings.xml><?xml version="1.0" encoding="utf-8"?>
<sst xmlns="http://schemas.openxmlformats.org/spreadsheetml/2006/main" count="900" uniqueCount="578">
  <si>
    <t>Do the Math</t>
  </si>
  <si>
    <r>
      <t xml:space="preserve">This series of worksheet calculations provides access to the energy dynamics facing our world in light of oil depletion. It is impossible to make sense of energy policy without </t>
    </r>
    <r>
      <rPr>
        <b/>
        <i/>
        <sz val="12"/>
        <rFont val="Arial"/>
        <family val="0"/>
      </rPr>
      <t>doing the math</t>
    </r>
    <r>
      <rPr>
        <sz val="12"/>
        <rFont val="Arial"/>
        <family val="0"/>
      </rPr>
      <t xml:space="preserve">. Rhetoric may help to focus attention on the challenges we face, but to discern between fact and fiction, junk science and honesty, thermodynamics and economics, </t>
    </r>
    <r>
      <rPr>
        <b/>
        <i/>
        <sz val="12"/>
        <rFont val="Arial"/>
        <family val="0"/>
      </rPr>
      <t>do the math</t>
    </r>
    <r>
      <rPr>
        <sz val="12"/>
        <rFont val="Arial"/>
        <family val="0"/>
      </rPr>
      <t>.</t>
    </r>
  </si>
  <si>
    <t>Title</t>
  </si>
  <si>
    <t>Description</t>
  </si>
  <si>
    <t>Geography ~ Forests</t>
  </si>
  <si>
    <t>To size up the potential of biomass, it helps to understand the limits.</t>
  </si>
  <si>
    <t>Daily Sun ~ All Oil</t>
  </si>
  <si>
    <t>Compares the energy in one day of sunlight to the ultimate amount of conventional oil</t>
  </si>
  <si>
    <t>Paved Area</t>
  </si>
  <si>
    <t>How much land is paved? How much energy could be captured by covering all paved land with solar panels?</t>
  </si>
  <si>
    <t>PV &amp; Photosynthesis</t>
  </si>
  <si>
    <t>Comparing Photosynthesis and Photovoltaics</t>
  </si>
  <si>
    <t>Switchgrass</t>
  </si>
  <si>
    <t>How much energy could be captured by planting all cultivated land in the USA with switchgrass, a high-yield plant?</t>
  </si>
  <si>
    <t>Conversions</t>
  </si>
  <si>
    <t>constants used in making conversions between different units of measure</t>
  </si>
  <si>
    <t>Earth Geography</t>
  </si>
  <si>
    <t>This sheet is a work in progress. In sizing up the potential of biomass, it helps to understand the limits.</t>
  </si>
  <si>
    <t>km/mi</t>
  </si>
  <si>
    <t>Population</t>
  </si>
  <si>
    <t>English</t>
  </si>
  <si>
    <t>Metric</t>
  </si>
  <si>
    <t>Percent</t>
  </si>
  <si>
    <t>Item</t>
  </si>
  <si>
    <t>km^2/mi^2</t>
  </si>
  <si>
    <t>mi</t>
  </si>
  <si>
    <t>km</t>
  </si>
  <si>
    <t>earth diameter</t>
  </si>
  <si>
    <t>hectare/km^2</t>
  </si>
  <si>
    <t>mi^2</t>
  </si>
  <si>
    <t>km^2</t>
  </si>
  <si>
    <t>earth disk area</t>
  </si>
  <si>
    <t>ac/mi^2</t>
  </si>
  <si>
    <t>hectare/acre</t>
  </si>
  <si>
    <t>earth surface area</t>
  </si>
  <si>
    <t>earth water area</t>
  </si>
  <si>
    <t>earth land area</t>
  </si>
  <si>
    <t>earth forest area</t>
  </si>
  <si>
    <t>earth forest area:land area</t>
  </si>
  <si>
    <t>?</t>
  </si>
  <si>
    <t>earth cultivated area</t>
  </si>
  <si>
    <t>USA</t>
  </si>
  <si>
    <t>USA  surface area</t>
  </si>
  <si>
    <t>USA  water area</t>
  </si>
  <si>
    <t>USA  land area</t>
  </si>
  <si>
    <t>USA  arable area</t>
  </si>
  <si>
    <t>USA  forest area</t>
  </si>
  <si>
    <t>USA  commercial forest area</t>
  </si>
  <si>
    <t>USA  cultivated land</t>
  </si>
  <si>
    <t>USA  irrigated land (1993 est.)</t>
  </si>
  <si>
    <t>Land use: arable land: 19% permanent crops: 0% permanent pastures: 25% forests and woodland: 30% other: 26% (1993 est.)</t>
  </si>
  <si>
    <t>Arizona</t>
  </si>
  <si>
    <t>California</t>
  </si>
  <si>
    <t>USA  population</t>
  </si>
  <si>
    <t>California surface area</t>
  </si>
  <si>
    <t>California water area</t>
  </si>
  <si>
    <t>CA/USA</t>
  </si>
  <si>
    <t>See also</t>
  </si>
  <si>
    <t>World production of major crops in 2004</t>
  </si>
  <si>
    <t>Top agricultural products, by crop types</t>
  </si>
  <si>
    <t>(million metric tons) 2004 data</t>
  </si>
  <si>
    <t xml:space="preserve">Cereals </t>
  </si>
  <si>
    <t xml:space="preserve">Vegetables and melons </t>
  </si>
  <si>
    <t xml:space="preserve">Roots and Tubers </t>
  </si>
  <si>
    <t xml:space="preserve">Milk </t>
  </si>
  <si>
    <t xml:space="preserve">Fruit </t>
  </si>
  <si>
    <t xml:space="preserve">Meat </t>
  </si>
  <si>
    <t xml:space="preserve">Oilcrops </t>
  </si>
  <si>
    <t xml:space="preserve">Fish (2001 estimate) </t>
  </si>
  <si>
    <t xml:space="preserve">Eggs </t>
  </si>
  <si>
    <t xml:space="preserve">Pulses </t>
  </si>
  <si>
    <t xml:space="preserve">Vegetable Fiber </t>
  </si>
  <si>
    <t>Source:</t>
  </si>
  <si>
    <t>UN Food &amp; Agriculture Organisation (FAO)</t>
  </si>
  <si>
    <t>Top agricultural products, by individual crops</t>
  </si>
  <si>
    <t xml:space="preserve">Sugar Cane </t>
  </si>
  <si>
    <t xml:space="preserve">Maize </t>
  </si>
  <si>
    <t xml:space="preserve">Wheat </t>
  </si>
  <si>
    <t xml:space="preserve">Rice </t>
  </si>
  <si>
    <t xml:space="preserve">Potatoes </t>
  </si>
  <si>
    <t xml:space="preserve">Sugar Beet </t>
  </si>
  <si>
    <t xml:space="preserve">Soybean </t>
  </si>
  <si>
    <t xml:space="preserve">Oil palm Fruit </t>
  </si>
  <si>
    <t xml:space="preserve">Barley </t>
  </si>
  <si>
    <t xml:space="preserve">Tomato </t>
  </si>
  <si>
    <t>Major agricultural products, United_States</t>
  </si>
  <si>
    <t>Major Crops in the U.S.A. - 1997</t>
  </si>
  <si>
    <t>value rank</t>
  </si>
  <si>
    <t>million metric tons</t>
  </si>
  <si>
    <t>$/tonne</t>
  </si>
  <si>
    <t>(in US$ billions)</t>
  </si>
  <si>
    <t xml:space="preserve">Corn </t>
  </si>
  <si>
    <t xml:space="preserve">Cow's milk, whole, fresh </t>
  </si>
  <si>
    <t xml:space="preserve">Soybeans </t>
  </si>
  <si>
    <t xml:space="preserve">Alfalfa </t>
  </si>
  <si>
    <t xml:space="preserve">Sugar beets </t>
  </si>
  <si>
    <t xml:space="preserve">Cotton </t>
  </si>
  <si>
    <t xml:space="preserve">Hay, other than alfalfa </t>
  </si>
  <si>
    <t xml:space="preserve">Chicken meat </t>
  </si>
  <si>
    <t xml:space="preserve">Tobacco </t>
  </si>
  <si>
    <t xml:space="preserve">Tomatoes </t>
  </si>
  <si>
    <t xml:space="preserve">Cattle meat </t>
  </si>
  <si>
    <t xml:space="preserve">Sorghum </t>
  </si>
  <si>
    <t xml:space="preserve">Oranges </t>
  </si>
  <si>
    <t>1997 USDA-NASS reports</t>
  </si>
  <si>
    <t xml:space="preserve">Rice, paddy </t>
  </si>
  <si>
    <t xml:space="preserve">Pig meat </t>
  </si>
  <si>
    <t xml:space="preserve">Grapes </t>
  </si>
  <si>
    <t xml:space="preserve">Cottonseed </t>
  </si>
  <si>
    <t xml:space="preserve">Hen eggs </t>
  </si>
  <si>
    <t xml:space="preserve">Lettuce </t>
  </si>
  <si>
    <t xml:space="preserve">Apples </t>
  </si>
  <si>
    <t xml:space="preserve">Cotton lint </t>
  </si>
  <si>
    <t xml:space="preserve">Turkey meat </t>
  </si>
  <si>
    <t>In 2004, of the 145 million employed workers in the US, 834,000 of them held jobs as agricultural workers.</t>
  </si>
  <si>
    <t>U.S. agriculture has a high yield relative to other countries. The yield was (in 2004):[2]</t>
  </si>
  <si>
    <t xml:space="preserve">    * Corn for grain, average of 160.4 bushels harvested per acre (10.07 t/ha)</t>
  </si>
  <si>
    <t xml:space="preserve">    * Soybean for beans, average of 42.5 bushels harvested per acre (2.86 t/ha)</t>
  </si>
  <si>
    <t xml:space="preserve">    * Wheat, average of 43.2 bushels harvested per acre (2.91 t/ha, was 44.2 bu/ac or 2.97 t/ha in 2003)</t>
  </si>
  <si>
    <t>Other statistics, United States</t>
  </si>
  <si>
    <t>Electricity:</t>
  </si>
  <si>
    <t xml:space="preserve">    * production: 3,892 TWh (2003)</t>
  </si>
  <si>
    <t xml:space="preserve">    * consumption: 3,656 TWh (2003)</t>
  </si>
  <si>
    <t xml:space="preserve">    * exports: 23.97 TWh (2003)</t>
  </si>
  <si>
    <t xml:space="preserve">    * imports: 30.39 TWh (2003)</t>
  </si>
  <si>
    <t>Electricity - production by source:</t>
  </si>
  <si>
    <t xml:space="preserve">    * fossil fuel: 71.4%</t>
  </si>
  <si>
    <t xml:space="preserve">    * hydro: 5.6%</t>
  </si>
  <si>
    <t xml:space="preserve">    * nuclear: 20.7%</t>
  </si>
  <si>
    <t xml:space="preserve">    * other: 2.3% (2001)</t>
  </si>
  <si>
    <t>Oil:</t>
  </si>
  <si>
    <t xml:space="preserve">    * production: 7.8 million barrel/day (2004 est.)</t>
  </si>
  <si>
    <t xml:space="preserve">    * consumption: 19.65 million barrel/day (2001 est.)</t>
  </si>
  <si>
    <t xml:space="preserve">    * exports: NA</t>
  </si>
  <si>
    <t xml:space="preserve">    * imports: NA</t>
  </si>
  <si>
    <t xml:space="preserve">    * net imports: 12.097 million barrel/day (2004 est.)</t>
  </si>
  <si>
    <t xml:space="preserve">    * proved reserves: 22.45 billion barrel (1 January 2002)</t>
  </si>
  <si>
    <t>Natural gas:</t>
  </si>
  <si>
    <t xml:space="preserve">    * production: 548.1 billion m³ (2001 est.)</t>
  </si>
  <si>
    <t xml:space="preserve">    * consumption: 640.9 billion m³ (2001 est.)</t>
  </si>
  <si>
    <t xml:space="preserve">    * exports: 11.16 billion m³ (2001 est.)</t>
  </si>
  <si>
    <t xml:space="preserve">    * imports: 114.1 billion m³ (2001 est.)</t>
  </si>
  <si>
    <t xml:space="preserve">    * proved reserves: 5.195 trillion m³ (1 January 2002)</t>
  </si>
  <si>
    <t xml:space="preserve"> Ethanol Reshapes the Corn Market</t>
  </si>
  <si>
    <t>With a corn-to-ethanol conversion rate of 2.7 gallons per bushel (a rate that many state-of-the-art facilities are already surpassing), the U.S. ethanol sector will need 2.6 billion bushels per year by 2010—1.2 billion bushels more than it consumed in 2005.</t>
  </si>
  <si>
    <t>A comparison of the 2006 Baseline with the 2005 Baseline suggests that much of the increased use by ethanol producers will be diverted from potential exports</t>
  </si>
  <si>
    <t>Making sense out of apparently conflicting data</t>
  </si>
  <si>
    <t>Regional Data Exchange System</t>
  </si>
  <si>
    <t>Calculate from graphs</t>
  </si>
  <si>
    <t>Percent of total</t>
  </si>
  <si>
    <t>Total land area</t>
  </si>
  <si>
    <t>hectares</t>
  </si>
  <si>
    <t>based on %s below right</t>
  </si>
  <si>
    <t>close enough</t>
  </si>
  <si>
    <t>Arable land</t>
  </si>
  <si>
    <t>Permanent crops</t>
  </si>
  <si>
    <t>Forest</t>
  </si>
  <si>
    <t>Pasture</t>
  </si>
  <si>
    <t>Irrigated</t>
  </si>
  <si>
    <t>Other incl forest</t>
  </si>
  <si>
    <t>of irrigated</t>
  </si>
  <si>
    <t>2002</t>
  </si>
  <si>
    <t xml:space="preserve">million acres </t>
  </si>
  <si>
    <t xml:space="preserve">Total land area </t>
  </si>
  <si>
    <t xml:space="preserve">    Total farmland </t>
  </si>
  <si>
    <t xml:space="preserve"> </t>
  </si>
  <si>
    <t xml:space="preserve">        Cropland </t>
  </si>
  <si>
    <t xml:space="preserve">            Percent in pasture </t>
  </si>
  <si>
    <t xml:space="preserve">            Percent irrigated </t>
  </si>
  <si>
    <t xml:space="preserve">            Harvested Cropland </t>
  </si>
  <si>
    <t xml:space="preserve">        Woodland </t>
  </si>
  <si>
    <t xml:space="preserve">        Pastureland </t>
  </si>
  <si>
    <t xml:space="preserve">        Land in house lots, ponds, roads,</t>
  </si>
  <si>
    <t xml:space="preserve">        wasteland, etc. </t>
  </si>
  <si>
    <t xml:space="preserve">            Percent of total farmland </t>
  </si>
  <si>
    <t>World deforestation rates and forest cover statistics, 2000-2005</t>
  </si>
  <si>
    <t>New deforestation figures show Nigeria has worst rate of forest loss</t>
  </si>
  <si>
    <t>Rhett A. Butler, mongabay.com</t>
  </si>
  <si>
    <t>November 17, 2005 [updated to correct FAO change in data]</t>
  </si>
  <si>
    <t>Nigeria has the world's highest deforestation rate, Brazil loses the largest area of forest annually, and Congo consumes more bushmeat than any other tropical country. These are among the findings from mongabay.com's analysis of new deforestation figures from the United Nations.</t>
  </si>
  <si>
    <t>Monday, the Food and Agriculture Organization of the United Nations (FAO) released its 2005 Global Forest Resources Assessment, a regular report on the status world's forest resources. Overall, FAO concludes that net deforestation rates have fallen since the 1990-2000 period, but some 13 million hectares of the world’s forests are still lost each year, including 6 million hectares of primary forests. Primary forests -- forests with no visible signs of past or present human activities -- are considered the most biologically diverse ecosystems on the planet.</t>
  </si>
  <si>
    <t>The United States has the seventh largest annual loss of primary forests in the world, according to FAO. In the 2000-2005 period, the United States lost an average of 831 square miles (215,200 hectares, 2,152 square kilometers or 531,771 acres) of such lands which are sometimes termed "old-growth forests."</t>
  </si>
  <si>
    <t>Overall, when plantations are added to the picture, the US gained a net 614 square miles (159,000 hectares) of forest per year. The FAO report suggests America's primary forests are losing ground to modified natural, seminatural, and plantation forests. Earlier this year, the government revoked President Clinton's 2001 "Roadless Area Conservation Rule" that protected 58.5 million acres of undeveloped national forest, in effect opening more than 90,000 square miles of forests to road construction, logging and industrial development.</t>
  </si>
  <si>
    <t>2005. All countries</t>
  </si>
  <si>
    <t>Total forest cover</t>
  </si>
  <si>
    <t>Primary forest</t>
  </si>
  <si>
    <t>% Primary</t>
  </si>
  <si>
    <t>Highest average annual deforestation of primary forests, 2000-2005, by area.</t>
  </si>
  <si>
    <t>deforestation rate of primary forests</t>
  </si>
  <si>
    <t>Russian Federation</t>
  </si>
  <si>
    <t>Brazil</t>
  </si>
  <si>
    <t>Canada</t>
  </si>
  <si>
    <t>United States of America</t>
  </si>
  <si>
    <t>China</t>
  </si>
  <si>
    <t>Australia</t>
  </si>
  <si>
    <t>Democratic Republic of the Congo</t>
  </si>
  <si>
    <t>Indonesia</t>
  </si>
  <si>
    <t>Peru</t>
  </si>
  <si>
    <t>India</t>
  </si>
  <si>
    <t>Sudan</t>
  </si>
  <si>
    <t>Mexico</t>
  </si>
  <si>
    <t>Colombia</t>
  </si>
  <si>
    <t>Angola</t>
  </si>
  <si>
    <t>Bolivia</t>
  </si>
  <si>
    <t>Venezuela (Bolivarian Republic of)</t>
  </si>
  <si>
    <t>Zambia</t>
  </si>
  <si>
    <t>United Republic of Tanzania</t>
  </si>
  <si>
    <t>Argentina</t>
  </si>
  <si>
    <t>Myanmar</t>
  </si>
  <si>
    <t>Papua New Guinea</t>
  </si>
  <si>
    <t>Suriname</t>
  </si>
  <si>
    <t>Madagascar</t>
  </si>
  <si>
    <t>Guyana</t>
  </si>
  <si>
    <t>French Guiana</t>
  </si>
  <si>
    <t>Central African Republic</t>
  </si>
  <si>
    <t>Congo</t>
  </si>
  <si>
    <t>Thailand</t>
  </si>
  <si>
    <t>Ecuador</t>
  </si>
  <si>
    <t>Gabon</t>
  </si>
  <si>
    <t>Cameroon</t>
  </si>
  <si>
    <t>Malaysia</t>
  </si>
  <si>
    <t>Nigeria</t>
  </si>
  <si>
    <t>Viet Nam</t>
  </si>
  <si>
    <t>Cambodia</t>
  </si>
  <si>
    <t>Sri Lanka</t>
  </si>
  <si>
    <t>Malawi</t>
  </si>
  <si>
    <t>North Korea</t>
  </si>
  <si>
    <t>Nepal</t>
  </si>
  <si>
    <t>Panama</t>
  </si>
  <si>
    <t>Guatemala</t>
  </si>
  <si>
    <t>forest statistics</t>
  </si>
  <si>
    <t>World's forests cover 3.9 billion hectares (9.8 billion acres - or 29.6 percent of the land base)</t>
  </si>
  <si>
    <t xml:space="preserve">    *  The entire land base of the United States is 2.263 billion acres (913.7 million hectares)</t>
  </si>
  <si>
    <t xml:space="preserve">    * US forests cover 747 million acres (301 million hectares - or 33 percent of the land base)</t>
  </si>
  <si>
    <t xml:space="preserve">    * Sixty-seven percent of the total area of US forests (495 million acres, or 198 million hectares) are commercial forests, used to produce timber for forest products</t>
  </si>
  <si>
    <t xml:space="preserve">    *  World's entire land base covers 13.1 billion hectares (32.8 billion acres)</t>
  </si>
  <si>
    <t xml:space="preserve">    * World's forests cover 3.9 billion hectares (9.8 billion acres - or 29.6 percent of the land base)</t>
  </si>
  <si>
    <t xml:space="preserve">Between 1980 and 1990 there was a net loss of 130 million hectares (325 million acres), or three percent of the world's total forest land. Between 1990 and 2000, the net loss of forest dropped to 90 million hectares (225 million acres), or 2.3 percent of the total area of forest. </t>
  </si>
  <si>
    <t>Global Forest Watch, Human Pressure on the Brazilian Amazon Forests</t>
  </si>
  <si>
    <t>Comparing all oil (ever) to one day of sunshine</t>
  </si>
  <si>
    <t xml:space="preserve">Ultimate Conventional Oil </t>
  </si>
  <si>
    <t>est.</t>
  </si>
  <si>
    <t>barrels</t>
  </si>
  <si>
    <t>Colin Campbell, 1997</t>
  </si>
  <si>
    <t>*</t>
  </si>
  <si>
    <t>btu/barrrel</t>
  </si>
  <si>
    <t>CRC</t>
  </si>
  <si>
    <t>=</t>
  </si>
  <si>
    <t>btu/ever</t>
  </si>
  <si>
    <t>Sun energy that intersects earth daily</t>
  </si>
  <si>
    <t>earth diameter 7,918 mi</t>
  </si>
  <si>
    <t>ft^2/mi^2</t>
  </si>
  <si>
    <t>btu/ft^2</t>
  </si>
  <si>
    <t>solar constant</t>
  </si>
  <si>
    <t>hrs/day</t>
  </si>
  <si>
    <t>btu/day</t>
  </si>
  <si>
    <t>quads</t>
  </si>
  <si>
    <t>daily sun:all conventional oil</t>
  </si>
  <si>
    <t>quads annual global consumption</t>
  </si>
  <si>
    <t>daily sun/annual global energy consumption</t>
  </si>
  <si>
    <t>Annual Energy (in metric units)</t>
  </si>
  <si>
    <t>tw annual global energy consumption</t>
  </si>
  <si>
    <t>hrs/year</t>
  </si>
  <si>
    <t>twh/year</t>
  </si>
  <si>
    <t>/</t>
  </si>
  <si>
    <t>quad/tera</t>
  </si>
  <si>
    <t>conversion</t>
  </si>
  <si>
    <t>quadrillion watt-hrs/year</t>
  </si>
  <si>
    <t>btu/watt-hr</t>
  </si>
  <si>
    <t>quads/year</t>
  </si>
  <si>
    <t>(~ same as 400 quads)</t>
  </si>
  <si>
    <t>Photosynthesis</t>
  </si>
  <si>
    <t>claim#1</t>
  </si>
  <si>
    <t>btu/year</t>
  </si>
  <si>
    <t>watt-hrs/btu</t>
  </si>
  <si>
    <t>watt-hrs/year</t>
  </si>
  <si>
    <t>km^2 of land on earth</t>
  </si>
  <si>
    <t>watt-hr/sq km</t>
  </si>
  <si>
    <t>PV</t>
  </si>
  <si>
    <t>claim</t>
  </si>
  <si>
    <t>watts/meter^2 at noon</t>
  </si>
  <si>
    <t>hrs/day of noon sun equivalent, global average</t>
  </si>
  <si>
    <t>watt-hrs/m^2/day</t>
  </si>
  <si>
    <t>days/year</t>
  </si>
  <si>
    <t>watt-hrs/m^2/year</t>
  </si>
  <si>
    <t>m^2/km^2</t>
  </si>
  <si>
    <t>watt-hrs/km^2/year</t>
  </si>
  <si>
    <t>Ratio PV:Photosynthesis</t>
  </si>
  <si>
    <t>PV:Biomass</t>
  </si>
  <si>
    <t>Biomass:PV</t>
  </si>
  <si>
    <t>Validate Claim</t>
  </si>
  <si>
    <t>btu terrestrial plants</t>
  </si>
  <si>
    <t>tonnes</t>
  </si>
  <si>
    <t>btu/tonne</t>
  </si>
  <si>
    <t>kg/tonne</t>
  </si>
  <si>
    <t>kg/lb</t>
  </si>
  <si>
    <t>btu/lb</t>
  </si>
  <si>
    <t>(This result meets sanity test.)</t>
  </si>
  <si>
    <t>Claim#1:</t>
  </si>
  <si>
    <r>
      <t>Today, terrestrial plants produce about 120 billion metric tons of biomass (dry weight)</t>
    </r>
    <r>
      <rPr>
        <vertAlign val="superscript"/>
        <sz val="10"/>
        <rFont val="Arial"/>
        <family val="2"/>
      </rPr>
      <t>1</t>
    </r>
    <r>
      <rPr>
        <sz val="10"/>
        <rFont val="Verdana"/>
        <family val="0"/>
      </rPr>
      <t xml:space="preserve"> globally each year (IPCC, 2001). The energy in this biomass totals about 2,400 quads</t>
    </r>
    <r>
      <rPr>
        <vertAlign val="superscript"/>
        <sz val="10"/>
        <rFont val="Arial"/>
        <family val="2"/>
      </rPr>
      <t>2</t>
    </r>
    <r>
      <rPr>
        <sz val="10"/>
        <rFont val="Verdana"/>
        <family val="0"/>
      </rPr>
      <t xml:space="preserve"> (1 quad = 1015 Btu). Modern economies, however, rely extensively on fossil fuels rather than biomass for their energy. In 2001, the world consumption of fossil fuels totaled about 315 quads, about one-quarter of which was consumed in the United States (BP, 2002).</t>
    </r>
  </si>
  <si>
    <t>http://www.nae.edu/nae/bridgecom.nsf/weblinks/MKUF-5NTMX9?OpenDocument</t>
  </si>
  <si>
    <t>SOLAR POTENTIAL OF LAND AREA CONSUMED BY THE CAR IN SELECTED COUNTRIES</t>
  </si>
  <si>
    <t>Based upon WorldWatch analysis</t>
  </si>
  <si>
    <t>LAND AREA CONSUMED BY THE CAR IN SELECTED COUNTRIES</t>
  </si>
  <si>
    <t>Land Area Devoted to Roads in the United States</t>
  </si>
  <si>
    <t>Functional System</t>
  </si>
  <si>
    <t>Road Length</t>
  </si>
  <si>
    <t>Avg # Lanes</t>
  </si>
  <si>
    <t>Avg Lane Width</t>
  </si>
  <si>
    <t>Shoulders &amp; Dividers Width</t>
  </si>
  <si>
    <t>Right-of-Way Width</t>
  </si>
  <si>
    <t>Total Effective Road Width</t>
  </si>
  <si>
    <t>Private Road Factor</t>
  </si>
  <si>
    <t>Minimum Area Directly Consumed by Road</t>
  </si>
  <si>
    <t>verify total</t>
  </si>
  <si>
    <t>pavement only</t>
  </si>
  <si>
    <t>miles</t>
  </si>
  <si>
    <t>number</t>
  </si>
  <si>
    <t>feet</t>
  </si>
  <si>
    <t>coefficient</t>
  </si>
  <si>
    <t>sq. miles</t>
  </si>
  <si>
    <t>RURAL</t>
  </si>
  <si>
    <t>Interstate</t>
  </si>
  <si>
    <t>Other Principal Arterial</t>
  </si>
  <si>
    <t>Minor Arterial</t>
  </si>
  <si>
    <t>Major Collector</t>
  </si>
  <si>
    <t>Minor Collector</t>
  </si>
  <si>
    <t>Local Road</t>
  </si>
  <si>
    <t>RURAL SUBTOTAL</t>
  </si>
  <si>
    <t>URBAN</t>
  </si>
  <si>
    <t>n.a.</t>
  </si>
  <si>
    <t>Other Freeways and Expressways</t>
  </si>
  <si>
    <t>Solar system performance</t>
  </si>
  <si>
    <t>Collector</t>
  </si>
  <si>
    <t>w/m2</t>
  </si>
  <si>
    <t>URBAN SUBTOTAL</t>
  </si>
  <si>
    <t>efficiency</t>
  </si>
  <si>
    <t>watts/m2</t>
  </si>
  <si>
    <t>TOTAL</t>
  </si>
  <si>
    <t>wh/m2/day</t>
  </si>
  <si>
    <t>sqkm/sqmi</t>
  </si>
  <si>
    <t>hectares/sqkm</t>
  </si>
  <si>
    <t>watts/kw</t>
  </si>
  <si>
    <t>Land Area Devoted to Parking in the United States</t>
  </si>
  <si>
    <t>kwh/m2/yr</t>
  </si>
  <si>
    <t>conservative</t>
  </si>
  <si>
    <t>Country</t>
  </si>
  <si>
    <t>Size of Vehicle Fleet</t>
  </si>
  <si>
    <t>Land Area/ Parking Space</t>
  </si>
  <si>
    <t>Minimum Number of Parking Spaces/ Vehicle</t>
  </si>
  <si>
    <t>Total Land Area Used for Parking</t>
  </si>
  <si>
    <t>Land Area Consumed by Road</t>
  </si>
  <si>
    <t>TOTAL Land Area Consumed by the Car (Parking Area + Road Area)</t>
  </si>
  <si>
    <t>cars + commercial vehicles</t>
  </si>
  <si>
    <t>sq. meters</t>
  </si>
  <si>
    <t>Solar Potential in Terawatts</t>
  </si>
  <si>
    <t>Solar Potential in Barrels of Oil</t>
  </si>
  <si>
    <t>United States</t>
  </si>
  <si>
    <t>----&gt;----&gt;</t>
  </si>
  <si>
    <t>m2/hectare</t>
  </si>
  <si>
    <t>m2</t>
  </si>
  <si>
    <t>Land Area Consumed by the the Car in Selected Countries</t>
  </si>
  <si>
    <t>twh/kwh</t>
  </si>
  <si>
    <t>kwh/barrel</t>
  </si>
  <si>
    <t>twh/yr</t>
  </si>
  <si>
    <t>barrels/yr equivalent</t>
  </si>
  <si>
    <t>hrs/yr</t>
  </si>
  <si>
    <t>barrels/yr consumed</t>
  </si>
  <si>
    <t>tw average</t>
  </si>
  <si>
    <t>sufficiency</t>
  </si>
  <si>
    <t>Land Area</t>
  </si>
  <si>
    <t>Total Road Distance</t>
  </si>
  <si>
    <t>per cap area</t>
  </si>
  <si>
    <t>pavement to land area</t>
  </si>
  <si>
    <t>solar potential</t>
  </si>
  <si>
    <t>conversion factor</t>
  </si>
  <si>
    <t>million</t>
  </si>
  <si>
    <t>kilometers</t>
  </si>
  <si>
    <t>percent</t>
  </si>
  <si>
    <t>Terawatts equivalent</t>
  </si>
  <si>
    <t>Oil billion barrels equivalent</t>
  </si>
  <si>
    <t>Japan</t>
  </si>
  <si>
    <t>France</t>
  </si>
  <si>
    <t>Germany</t>
  </si>
  <si>
    <t>United Kingdom</t>
  </si>
  <si>
    <t>Sweden</t>
  </si>
  <si>
    <t>Current and Potential Land Area Consumed by the Car in India and China</t>
  </si>
  <si>
    <t>Current Size of Vehicle Fleet</t>
  </si>
  <si>
    <t>Vehicle Ownership Level</t>
  </si>
  <si>
    <t>TOTAL Current Land Area Devoted to the Car (Parking Area + Road Area)</t>
  </si>
  <si>
    <t>Vehicle Fleet Size for Industrialized Vehicle Ownership Level</t>
  </si>
  <si>
    <t>Total Paved Area Needed for Industrialized Auto Ownership Level (Assumes 0.02 hectares needed per vehicle)</t>
  </si>
  <si>
    <t>number of vehicles/ thousand people</t>
  </si>
  <si>
    <t>existing</t>
  </si>
  <si>
    <t>projected</t>
  </si>
  <si>
    <t>Conversions:</t>
  </si>
  <si>
    <t>1 mile = 5280 feet = 1.609 kilometers</t>
  </si>
  <si>
    <t>1 square mile = 2.59 square kilometers = 259 hectares</t>
  </si>
  <si>
    <t>Calculations by:</t>
  </si>
  <si>
    <t>Janet Larsen, Earth Policy Institute</t>
  </si>
  <si>
    <t>jlarsen@earth-policy.org</t>
  </si>
  <si>
    <t>Sources and Calculation Methodology</t>
  </si>
  <si>
    <t>OTHER DATA:</t>
  </si>
  <si>
    <t>World Automobile Production and Fleet, 1950-99</t>
  </si>
  <si>
    <t>GO BACK: </t>
  </si>
  <si>
    <t>Issue Alert: Paving the Planet</t>
  </si>
  <si>
    <t>FOR FURTHER INFORMATION CONTACT:</t>
  </si>
  <si>
    <t>Reah Janise Kauffman</t>
  </si>
  <si>
    <t>Earth Policy Institute</t>
  </si>
  <si>
    <t>1350 Connecticut Ave, NW</t>
  </si>
  <si>
    <t>Suite 403</t>
  </si>
  <si>
    <t>Washington, DC 20036</t>
  </si>
  <si>
    <t>telephone: 202 496-9290 X12</t>
  </si>
  <si>
    <t>email: rjkauffman@earth-policy.org</t>
  </si>
  <si>
    <t>Also visit the Worldwatch website at www.worldwatch.org</t>
  </si>
  <si>
    <t>amount</t>
  </si>
  <si>
    <t>units</t>
  </si>
  <si>
    <t>comments</t>
  </si>
  <si>
    <t>Gj/tonne</t>
  </si>
  <si>
    <t>claim(1)</t>
  </si>
  <si>
    <t>Giga</t>
  </si>
  <si>
    <t>j/wh</t>
  </si>
  <si>
    <t>wh/tonne</t>
  </si>
  <si>
    <t>kwh/wh</t>
  </si>
  <si>
    <t xml:space="preserve">tonne/ha </t>
  </si>
  <si>
    <t>claim (1) (2)</t>
  </si>
  <si>
    <t>kwh/ha/yr</t>
  </si>
  <si>
    <t>net energy captured by switchgrass</t>
  </si>
  <si>
    <t>btu/kwh</t>
  </si>
  <si>
    <t>btu/barrel</t>
  </si>
  <si>
    <t>barrels equivalent/ha</t>
  </si>
  <si>
    <t>Compare</t>
  </si>
  <si>
    <t>kwh/m2/day</t>
  </si>
  <si>
    <t>approximate sunlight to ground</t>
  </si>
  <si>
    <t>m2/ha</t>
  </si>
  <si>
    <t>days/yr</t>
  </si>
  <si>
    <t>total sunlight</t>
  </si>
  <si>
    <t>24 hr efficiency of photosynthesis</t>
  </si>
  <si>
    <t>net energy captured by photosynthesis</t>
  </si>
  <si>
    <t>difference</t>
  </si>
  <si>
    <t>Sanity Check</t>
  </si>
  <si>
    <t>see above</t>
  </si>
  <si>
    <t>btu/wh</t>
  </si>
  <si>
    <t>btu/kg</t>
  </si>
  <si>
    <t>lb/kg</t>
  </si>
  <si>
    <t>approximate energy content of wood</t>
  </si>
  <si>
    <r>
      <t>Potential using</t>
    </r>
    <r>
      <rPr>
        <b/>
        <i/>
        <sz val="10"/>
        <rFont val="Verdana"/>
        <family val="0"/>
      </rPr>
      <t xml:space="preserve"> all </t>
    </r>
    <r>
      <rPr>
        <b/>
        <sz val="10"/>
        <rFont val="Verdana"/>
        <family val="0"/>
      </rPr>
      <t>cultivated land</t>
    </r>
  </si>
  <si>
    <t>In terawatts</t>
  </si>
  <si>
    <t>Cultivated Land USA</t>
  </si>
  <si>
    <t>tw equivalent</t>
  </si>
  <si>
    <t>In barrels of oil equivalent</t>
  </si>
  <si>
    <t>barrels/billion barrels</t>
  </si>
  <si>
    <t>billion barrels equivalent</t>
  </si>
  <si>
    <t xml:space="preserve">McLaughlin, S., J. Bouton, D. Bransby, B. Conger, W. Ocumpaugh, D. Parrish, C. Taliaferro, K. Vogel, and S. Wullschleger. 1999. Developing switchgrass as a bioenergy crop. p. 282–299. In: J. Janick (ed.),  Perspectives on new crops and new uses. ASHS Press, Alexandria, VA. </t>
  </si>
  <si>
    <t>+200 kg of N/ha</t>
  </si>
  <si>
    <t>http://www.simetric.co.uk/si_hij.htm</t>
  </si>
  <si>
    <t xml:space="preserve">joules  </t>
  </si>
  <si>
    <t>Btu</t>
  </si>
  <si>
    <t xml:space="preserve">joules </t>
  </si>
  <si>
    <t>ergs</t>
  </si>
  <si>
    <t>foot-pounds</t>
  </si>
  <si>
    <t>kg-calories</t>
  </si>
  <si>
    <t>kg-metres</t>
  </si>
  <si>
    <t>watt-hrs</t>
  </si>
  <si>
    <t xml:space="preserve">horsepower  </t>
  </si>
  <si>
    <t>Btu/min</t>
  </si>
  <si>
    <t xml:space="preserve">horsepower </t>
  </si>
  <si>
    <t>foot-lbs/min</t>
  </si>
  <si>
    <t>foot-lbs/sec</t>
  </si>
  <si>
    <t xml:space="preserve">horsepower (metric) </t>
  </si>
  <si>
    <t>horsepower</t>
  </si>
  <si>
    <t>kg-calories/min</t>
  </si>
  <si>
    <t>kilowatts</t>
  </si>
  <si>
    <t xml:space="preserve">horsepower (boiler) </t>
  </si>
  <si>
    <t>Btu/hr</t>
  </si>
  <si>
    <t>watts</t>
  </si>
  <si>
    <t xml:space="preserve">horsepower (electric) </t>
  </si>
  <si>
    <t xml:space="preserve">see tables </t>
  </si>
  <si>
    <t>cc and cu.in. (approx)</t>
  </si>
  <si>
    <t xml:space="preserve">horsepower (UK) </t>
  </si>
  <si>
    <t xml:space="preserve">horsepower (water) </t>
  </si>
  <si>
    <t xml:space="preserve">horsepower-hrs </t>
  </si>
  <si>
    <t>foot-lbs</t>
  </si>
  <si>
    <t>gram-calories</t>
  </si>
  <si>
    <t>joules</t>
  </si>
  <si>
    <t>kilowatt-hrs</t>
  </si>
  <si>
    <t>To obtain joules when watt-hours are known, multiply by 3,600. To obtain watt-hours when joules are known, multiply by 2.778 x 10 to the power of 4.</t>
  </si>
  <si>
    <t xml:space="preserve">These units multiplied by ......  </t>
  </si>
  <si>
    <t xml:space="preserve">..this factor will...  </t>
  </si>
  <si>
    <t>..convert to these units.</t>
  </si>
  <si>
    <t xml:space="preserve">Btu </t>
  </si>
  <si>
    <t>horsepower-hrs</t>
  </si>
  <si>
    <t xml:space="preserve">Btu (39 ºF) </t>
  </si>
  <si>
    <t>joules (J)</t>
  </si>
  <si>
    <t xml:space="preserve">Btu (59 ºF) </t>
  </si>
  <si>
    <t xml:space="preserve">Btu (60 ºF) </t>
  </si>
  <si>
    <t xml:space="preserve">Btu (international table) </t>
  </si>
  <si>
    <t xml:space="preserve">Btu (thermochemical) </t>
  </si>
  <si>
    <t>kilogram-calories</t>
  </si>
  <si>
    <t>kilogram-metres</t>
  </si>
  <si>
    <t xml:space="preserve">Btu /hr </t>
  </si>
  <si>
    <t>foot-pounds/sec</t>
  </si>
  <si>
    <t>gram-cal/sec</t>
  </si>
  <si>
    <t xml:space="preserve">Btu (int)/hr </t>
  </si>
  <si>
    <t xml:space="preserve">Btu (thermo)/hr </t>
  </si>
  <si>
    <t xml:space="preserve">Btu /min </t>
  </si>
  <si>
    <t xml:space="preserve">Btu(thermo)/min </t>
  </si>
  <si>
    <t xml:space="preserve">Btu (int)/sec </t>
  </si>
  <si>
    <t xml:space="preserve">Btu (thermo)/sec </t>
  </si>
  <si>
    <t xml:space="preserve">Btu (thermo) /sq. ft. min </t>
  </si>
  <si>
    <t>watts /sq. metre</t>
  </si>
  <si>
    <t xml:space="preserve">Btu (int) /sq. ft. sec </t>
  </si>
  <si>
    <t xml:space="preserve">Btu (thermo) /sq. ft. sec </t>
  </si>
  <si>
    <t xml:space="preserve">Btu (thermo) /sq. in. sec </t>
  </si>
  <si>
    <t xml:space="preserve">Btu (int) ft./hr sq.ft. ºF </t>
  </si>
  <si>
    <t>watt per metre kelvin</t>
  </si>
  <si>
    <t xml:space="preserve">Btu (thermo) ft./hr sq.ft. ºF </t>
  </si>
  <si>
    <t xml:space="preserve">Btu (int) in /hr sq.ft. ºF </t>
  </si>
  <si>
    <t xml:space="preserve">Btu (thermo) in./hr sq.ft. ºF </t>
  </si>
  <si>
    <t xml:space="preserve">Btu (int) in /sec sq.ft. ºF </t>
  </si>
  <si>
    <t xml:space="preserve">Btu (int) per cu. ft. </t>
  </si>
  <si>
    <t>joule per cu. metre</t>
  </si>
  <si>
    <t xml:space="preserve">Btu (thermo) per cu. ft. </t>
  </si>
  <si>
    <t xml:space="preserve">Btu (int) per ºF </t>
  </si>
  <si>
    <t>joule per kelvin</t>
  </si>
  <si>
    <t xml:space="preserve">Btu (thermo) per ºF </t>
  </si>
  <si>
    <t xml:space="preserve">Btu (int) per ºRankine </t>
  </si>
  <si>
    <t xml:space="preserve">Btu (thermo) per ºR </t>
  </si>
  <si>
    <t xml:space="preserve">Btu (int /cu.ft. ºF </t>
  </si>
  <si>
    <t>joule per cu. metre kelvin</t>
  </si>
  <si>
    <t xml:space="preserve">Btu (int) /hr sq.ft. ºF </t>
  </si>
  <si>
    <t>watt per sq. metre kelvin</t>
  </si>
  <si>
    <t xml:space="preserve">Btu (thermo) /hr sq.ft. ºF </t>
  </si>
  <si>
    <t xml:space="preserve">Btu (int) /sec sq.ft. ºF </t>
  </si>
  <si>
    <t xml:space="preserve">Btu (thermo) /sec sq.ft. ºF </t>
  </si>
  <si>
    <t xml:space="preserve">Btu (int) /lb </t>
  </si>
  <si>
    <t>joule per kg.</t>
  </si>
  <si>
    <t xml:space="preserve">Btu (thermo) /lb </t>
  </si>
  <si>
    <t>watts per kilogram</t>
  </si>
  <si>
    <t>kilocalorie per kilogram</t>
  </si>
  <si>
    <t xml:space="preserve">Btu (int) /lb. ºF </t>
  </si>
  <si>
    <t>joul per kg kelvin</t>
  </si>
  <si>
    <t xml:space="preserve">Btu (thermo) /lb. ºF </t>
  </si>
  <si>
    <t xml:space="preserve">Btu (int) /lb. ºRankine </t>
  </si>
  <si>
    <t xml:space="preserve">Btu (thermo) /lb. ºR </t>
  </si>
  <si>
    <t xml:space="preserve">Btu (int) /sq. ft </t>
  </si>
  <si>
    <t>joul per sq. metre</t>
  </si>
  <si>
    <t xml:space="preserve">Btu (thermo) /sq. ft. </t>
  </si>
  <si>
    <t xml:space="preserve">Btu (int) /sq. ft. hr </t>
  </si>
  <si>
    <t>watt per sq. metre</t>
  </si>
  <si>
    <t xml:space="preserve">Btu (thermo) /sq. ft. hr </t>
  </si>
  <si>
    <t xml:space="preserve">~~~~ </t>
  </si>
  <si>
    <t>~~~~</t>
  </si>
  <si>
    <t xml:space="preserve">calorie, gram (mean) </t>
  </si>
  <si>
    <t>Btu (mean)</t>
  </si>
  <si>
    <t xml:space="preserve">ergs </t>
  </si>
  <si>
    <t xml:space="preserve">ergs/sec </t>
  </si>
  <si>
    <t xml:space="preserve">foot-pounds </t>
  </si>
  <si>
    <t xml:space="preserve">foot-pounds/min </t>
  </si>
  <si>
    <t xml:space="preserve">foot-pounds/sec </t>
  </si>
  <si>
    <t xml:space="preserve">gram-calories </t>
  </si>
  <si>
    <t xml:space="preserve">gram-calories/sec </t>
  </si>
  <si>
    <t xml:space="preserve">kilogram-calories </t>
  </si>
  <si>
    <t xml:space="preserve">kilogram-metres </t>
  </si>
  <si>
    <t xml:space="preserve">kilowatts </t>
  </si>
  <si>
    <t xml:space="preserve">kilowatt-hrs </t>
  </si>
  <si>
    <t xml:space="preserve">tons refrigeration </t>
  </si>
  <si>
    <t>Btu per hour</t>
  </si>
  <si>
    <t xml:space="preserve">watts </t>
  </si>
  <si>
    <t xml:space="preserve">watts (absolute) </t>
  </si>
  <si>
    <t>Btu (mean)/min</t>
  </si>
  <si>
    <t xml:space="preserve">watt-hours </t>
  </si>
  <si>
    <t xml:space="preserve">These units multiplied by ...... </t>
  </si>
  <si>
    <t xml:space="preserve">..this factor will... </t>
  </si>
  <si>
    <t>..convert to these units</t>
  </si>
  <si>
    <t>DoTheMath.xls</t>
  </si>
  <si>
    <t>This file as Excel spreadsheet</t>
  </si>
  <si>
    <t>solar potential for paved land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</si>
</sst>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_(* #,##0.00000_);_(* \(#,##0.00000\);_(* &quot;-&quot;??_);_(@_)"/>
    <numFmt numFmtId="170" formatCode="_(* #,##0.0000_);_(* \(#,##0.0000\);_(* &quot;-&quot;??_);_(@_)"/>
    <numFmt numFmtId="171" formatCode="0.0%"/>
    <numFmt numFmtId="172" formatCode="_(&quot;$&quot;* #,##0_);_(&quot;$&quot;* \(#,##0\);_(&quot;$&quot;* &quot;-&quot;??_);_(@_)"/>
    <numFmt numFmtId="173" formatCode="d\-mmm\-yyyy"/>
    <numFmt numFmtId="174" formatCode="_(* #,##0.000_);_(* \(#,##0.000\);_(* &quot;-&quot;??_);_(@_)"/>
    <numFmt numFmtId="175" formatCode="0.00000"/>
    <numFmt numFmtId="176" formatCode="_(* #,##0_);_(* \(#,##0\);_(* &quot;-&quot;???_);_(@_)"/>
    <numFmt numFmtId="177" formatCode="_(* #,##0.0_);_(* \(#,##0.0\);_(* &quot;-&quot;??_);_(@_)"/>
  </numFmts>
  <fonts count="23">
    <font>
      <sz val="10"/>
      <name val="Verdana"/>
      <family val="0"/>
    </font>
    <font>
      <sz val="10"/>
      <name val="Arial"/>
      <family val="0"/>
    </font>
    <font>
      <u val="single"/>
      <sz val="10"/>
      <color indexed="12"/>
      <name val="Arial"/>
      <family val="0"/>
    </font>
    <font>
      <u val="single"/>
      <sz val="10"/>
      <color indexed="12"/>
      <name val="Verdana"/>
      <family val="0"/>
    </font>
    <font>
      <u val="single"/>
      <sz val="10"/>
      <color indexed="61"/>
      <name val="Verdana"/>
      <family val="0"/>
    </font>
    <font>
      <sz val="12"/>
      <name val="Arial"/>
      <family val="0"/>
    </font>
    <font>
      <b/>
      <sz val="18"/>
      <name val="Arial"/>
      <family val="0"/>
    </font>
    <font>
      <b/>
      <i/>
      <sz val="12"/>
      <name val="Arial"/>
      <family val="0"/>
    </font>
    <font>
      <b/>
      <sz val="12"/>
      <name val="Arial"/>
      <family val="0"/>
    </font>
    <font>
      <b/>
      <sz val="14"/>
      <name val="Arial"/>
      <family val="0"/>
    </font>
    <font>
      <sz val="12"/>
      <color indexed="8"/>
      <name val="Arial"/>
      <family val="0"/>
    </font>
    <font>
      <u val="single"/>
      <sz val="12"/>
      <color indexed="12"/>
      <name val="Arial"/>
      <family val="2"/>
    </font>
    <font>
      <b/>
      <sz val="12"/>
      <color indexed="8"/>
      <name val="Arial"/>
      <family val="2"/>
    </font>
    <font>
      <b/>
      <sz val="10"/>
      <name val="Verdana"/>
      <family val="2"/>
    </font>
    <font>
      <u val="single"/>
      <sz val="10"/>
      <name val="Arial"/>
      <family val="0"/>
    </font>
    <font>
      <vertAlign val="superscript"/>
      <sz val="10"/>
      <name val="Arial"/>
      <family val="2"/>
    </font>
    <font>
      <sz val="10"/>
      <color indexed="8"/>
      <name val="Arial"/>
      <family val="0"/>
    </font>
    <font>
      <b/>
      <sz val="10"/>
      <color indexed="8"/>
      <name val="Arial"/>
      <family val="0"/>
    </font>
    <font>
      <sz val="8.5"/>
      <name val="Verdana"/>
      <family val="0"/>
    </font>
    <font>
      <sz val="7.5"/>
      <color indexed="8"/>
      <name val="Arial"/>
      <family val="2"/>
    </font>
    <font>
      <b/>
      <sz val="14"/>
      <name val="Verdana"/>
      <family val="0"/>
    </font>
    <font>
      <b/>
      <i/>
      <sz val="10"/>
      <name val="Verdana"/>
      <family val="0"/>
    </font>
    <font>
      <sz val="8"/>
      <name val="Verdana"/>
      <family val="0"/>
    </font>
  </fonts>
  <fills count="7">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2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8"/>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color indexed="8"/>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thin">
        <color indexed="8"/>
      </right>
      <top>
        <color indexed="63"/>
      </top>
      <bottom style="thin"/>
    </border>
    <border>
      <left style="thin">
        <color indexed="8"/>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88">
    <xf numFmtId="0" fontId="0" fillId="0" borderId="0" xfId="0" applyAlignment="1">
      <alignment/>
    </xf>
    <xf numFmtId="0" fontId="5" fillId="0" borderId="0" xfId="0" applyFont="1" applyAlignment="1">
      <alignment horizontal="left" vertical="top" wrapText="1" shrinkToFit="1"/>
    </xf>
    <xf numFmtId="43" fontId="5" fillId="0" borderId="0" xfId="15" applyFont="1" applyAlignment="1">
      <alignment horizontal="left" vertical="top" wrapText="1" shrinkToFit="1"/>
    </xf>
    <xf numFmtId="43" fontId="5" fillId="0" borderId="0" xfId="15" applyNumberFormat="1" applyFont="1" applyAlignment="1">
      <alignment horizontal="left" vertical="top" wrapText="1" shrinkToFit="1"/>
    </xf>
    <xf numFmtId="0" fontId="5" fillId="0" borderId="1" xfId="0" applyFont="1" applyBorder="1" applyAlignment="1">
      <alignment horizontal="left" vertical="top" wrapText="1" shrinkToFit="1"/>
    </xf>
    <xf numFmtId="0" fontId="5" fillId="0" borderId="2" xfId="0" applyFont="1" applyBorder="1" applyAlignment="1">
      <alignment horizontal="left" vertical="top" wrapText="1" shrinkToFit="1"/>
    </xf>
    <xf numFmtId="43" fontId="5" fillId="0" borderId="3" xfId="15" applyFont="1" applyBorder="1" applyAlignment="1">
      <alignment horizontal="left" vertical="top" wrapText="1" shrinkToFit="1"/>
    </xf>
    <xf numFmtId="0" fontId="5" fillId="0" borderId="4" xfId="0" applyFont="1" applyBorder="1" applyAlignment="1">
      <alignment horizontal="left" vertical="top" wrapText="1" shrinkToFit="1"/>
    </xf>
    <xf numFmtId="43" fontId="6" fillId="0" borderId="0" xfId="15" applyFont="1" applyAlignment="1">
      <alignment horizontal="left" vertical="top" wrapText="1" shrinkToFit="1"/>
    </xf>
    <xf numFmtId="43" fontId="5" fillId="0" borderId="5" xfId="15" applyFont="1" applyBorder="1" applyAlignment="1">
      <alignment horizontal="left" vertical="top" wrapText="1" shrinkToFit="1"/>
    </xf>
    <xf numFmtId="43" fontId="8" fillId="0" borderId="6" xfId="15" applyFont="1" applyBorder="1" applyAlignment="1">
      <alignment horizontal="left" vertical="top" wrapText="1" shrinkToFit="1"/>
    </xf>
    <xf numFmtId="43" fontId="8" fillId="0" borderId="7" xfId="15" applyFont="1" applyBorder="1" applyAlignment="1">
      <alignment horizontal="left" vertical="top" wrapText="1" shrinkToFit="1"/>
    </xf>
    <xf numFmtId="43" fontId="5" fillId="0" borderId="0" xfId="15" applyFont="1" applyAlignment="1">
      <alignment horizontal="left" vertical="top" wrapText="1" shrinkToFit="1"/>
    </xf>
    <xf numFmtId="43" fontId="5" fillId="0" borderId="5" xfId="15" applyFont="1" applyBorder="1" applyAlignment="1">
      <alignment shrinkToFit="1"/>
    </xf>
    <xf numFmtId="0" fontId="5" fillId="0" borderId="8" xfId="0" applyFont="1" applyBorder="1" applyAlignment="1">
      <alignment horizontal="left" vertical="top" wrapText="1" shrinkToFit="1"/>
    </xf>
    <xf numFmtId="0" fontId="5" fillId="0" borderId="6" xfId="0" applyFont="1" applyBorder="1" applyAlignment="1">
      <alignment horizontal="left" vertical="top" wrapText="1" shrinkToFit="1"/>
    </xf>
    <xf numFmtId="43" fontId="5" fillId="0" borderId="7" xfId="15" applyFont="1" applyBorder="1" applyAlignment="1">
      <alignment horizontal="left" vertical="top" wrapText="1" shrinkToFit="1"/>
    </xf>
    <xf numFmtId="43" fontId="0" fillId="0" borderId="0" xfId="15" applyAlignment="1">
      <alignment/>
    </xf>
    <xf numFmtId="168" fontId="5" fillId="0" borderId="0" xfId="15" applyNumberFormat="1" applyFont="1" applyAlignment="1">
      <alignment/>
    </xf>
    <xf numFmtId="43" fontId="5" fillId="0" borderId="0" xfId="15" applyFont="1" applyAlignment="1">
      <alignment/>
    </xf>
    <xf numFmtId="168" fontId="5" fillId="0" borderId="1" xfId="15" applyNumberFormat="1" applyFont="1" applyBorder="1" applyAlignment="1">
      <alignment/>
    </xf>
    <xf numFmtId="168" fontId="5" fillId="0" borderId="2" xfId="15" applyNumberFormat="1" applyFont="1" applyBorder="1" applyAlignment="1">
      <alignment/>
    </xf>
    <xf numFmtId="168" fontId="5" fillId="0" borderId="3" xfId="15" applyNumberFormat="1" applyFont="1" applyBorder="1" applyAlignment="1">
      <alignment/>
    </xf>
    <xf numFmtId="168" fontId="5" fillId="0" borderId="4" xfId="15" applyNumberFormat="1" applyFont="1" applyBorder="1" applyAlignment="1">
      <alignment/>
    </xf>
    <xf numFmtId="168" fontId="5" fillId="0" borderId="0" xfId="15" applyNumberFormat="1" applyFont="1" applyBorder="1" applyAlignment="1">
      <alignment/>
    </xf>
    <xf numFmtId="43" fontId="5" fillId="0" borderId="0" xfId="15" applyFont="1" applyBorder="1" applyAlignment="1">
      <alignment/>
    </xf>
    <xf numFmtId="168" fontId="9" fillId="0" borderId="0" xfId="15" applyNumberFormat="1" applyFont="1" applyBorder="1" applyAlignment="1">
      <alignment/>
    </xf>
    <xf numFmtId="168" fontId="5" fillId="0" borderId="5" xfId="15" applyNumberFormat="1" applyFont="1" applyBorder="1" applyAlignment="1">
      <alignment/>
    </xf>
    <xf numFmtId="168" fontId="5" fillId="0" borderId="0" xfId="15" applyNumberFormat="1" applyFont="1" applyBorder="1" applyAlignment="1">
      <alignment horizontal="center"/>
    </xf>
    <xf numFmtId="168" fontId="5" fillId="0" borderId="6" xfId="15" applyNumberFormat="1" applyFont="1" applyBorder="1" applyAlignment="1">
      <alignment horizontal="center"/>
    </xf>
    <xf numFmtId="168" fontId="5" fillId="0" borderId="6" xfId="15" applyNumberFormat="1" applyFont="1" applyBorder="1" applyAlignment="1">
      <alignment/>
    </xf>
    <xf numFmtId="168" fontId="9" fillId="0" borderId="0" xfId="15" applyNumberFormat="1" applyFont="1" applyAlignment="1">
      <alignment/>
    </xf>
    <xf numFmtId="169" fontId="5" fillId="0" borderId="0" xfId="15" applyNumberFormat="1" applyFont="1" applyAlignment="1">
      <alignment/>
    </xf>
    <xf numFmtId="168" fontId="8" fillId="0" borderId="8" xfId="15" applyNumberFormat="1" applyFont="1" applyBorder="1" applyAlignment="1">
      <alignment/>
    </xf>
    <xf numFmtId="168" fontId="8" fillId="0" borderId="8" xfId="15" applyNumberFormat="1" applyFont="1" applyBorder="1" applyAlignment="1">
      <alignment horizontal="center"/>
    </xf>
    <xf numFmtId="168" fontId="8" fillId="0" borderId="6" xfId="15" applyNumberFormat="1" applyFont="1" applyBorder="1" applyAlignment="1">
      <alignment horizontal="center"/>
    </xf>
    <xf numFmtId="168" fontId="5" fillId="0" borderId="7" xfId="15" applyNumberFormat="1" applyFont="1" applyBorder="1" applyAlignment="1">
      <alignment/>
    </xf>
    <xf numFmtId="168" fontId="5" fillId="0" borderId="9" xfId="15" applyNumberFormat="1" applyFont="1" applyBorder="1" applyAlignment="1">
      <alignment/>
    </xf>
    <xf numFmtId="168" fontId="10" fillId="0" borderId="0" xfId="15" applyNumberFormat="1" applyFont="1" applyAlignment="1">
      <alignment/>
    </xf>
    <xf numFmtId="9" fontId="5" fillId="0" borderId="0" xfId="21" applyFont="1" applyAlignment="1">
      <alignment/>
    </xf>
    <xf numFmtId="168" fontId="5" fillId="0" borderId="0" xfId="15" applyNumberFormat="1" applyFont="1" applyAlignment="1">
      <alignment horizontal="right"/>
    </xf>
    <xf numFmtId="170" fontId="5" fillId="0" borderId="0" xfId="15" applyNumberFormat="1" applyFont="1" applyAlignment="1">
      <alignment/>
    </xf>
    <xf numFmtId="168" fontId="8" fillId="0" borderId="0" xfId="15" applyNumberFormat="1" applyFont="1" applyAlignment="1">
      <alignment/>
    </xf>
    <xf numFmtId="171" fontId="5" fillId="0" borderId="0" xfId="21" applyNumberFormat="1" applyFont="1" applyAlignment="1">
      <alignment/>
    </xf>
    <xf numFmtId="168" fontId="5" fillId="0" borderId="8" xfId="15" applyNumberFormat="1" applyFont="1" applyBorder="1" applyAlignment="1">
      <alignment/>
    </xf>
    <xf numFmtId="168" fontId="3" fillId="0" borderId="0" xfId="20" applyNumberFormat="1" applyBorder="1" applyAlignment="1">
      <alignment/>
    </xf>
    <xf numFmtId="168" fontId="3" fillId="0" borderId="0" xfId="20" applyNumberFormat="1" applyAlignment="1">
      <alignment/>
    </xf>
    <xf numFmtId="172" fontId="5" fillId="0" borderId="0" xfId="17" applyNumberFormat="1" applyFont="1" applyAlignment="1">
      <alignment/>
    </xf>
    <xf numFmtId="4" fontId="5" fillId="0" borderId="0" xfId="15" applyNumberFormat="1" applyFont="1" applyAlignment="1">
      <alignment wrapText="1"/>
    </xf>
    <xf numFmtId="4" fontId="0" fillId="0" borderId="0" xfId="15" applyNumberFormat="1" applyFont="1" applyBorder="1" applyAlignment="1">
      <alignment wrapText="1"/>
    </xf>
    <xf numFmtId="168" fontId="5" fillId="0" borderId="0" xfId="15" applyNumberFormat="1" applyFont="1" applyAlignment="1">
      <alignment horizontal="center"/>
    </xf>
    <xf numFmtId="10" fontId="5" fillId="0" borderId="0" xfId="21" applyNumberFormat="1" applyFont="1" applyAlignment="1">
      <alignment/>
    </xf>
    <xf numFmtId="168" fontId="11" fillId="0" borderId="0" xfId="20" applyNumberFormat="1" applyFont="1" applyAlignment="1">
      <alignment/>
    </xf>
    <xf numFmtId="43" fontId="8" fillId="0" borderId="0" xfId="15" applyFont="1" applyAlignment="1" quotePrefix="1">
      <alignment horizontal="right"/>
    </xf>
    <xf numFmtId="168" fontId="5" fillId="0" borderId="6" xfId="15" applyNumberFormat="1" applyFont="1" applyBorder="1" applyAlignment="1">
      <alignment horizontal="right"/>
    </xf>
    <xf numFmtId="168" fontId="5" fillId="2" borderId="0" xfId="15" applyNumberFormat="1" applyFont="1" applyFill="1" applyAlignment="1">
      <alignment/>
    </xf>
    <xf numFmtId="168" fontId="5" fillId="2" borderId="0" xfId="15" applyNumberFormat="1" applyFont="1" applyFill="1" applyBorder="1" applyAlignment="1">
      <alignment/>
    </xf>
    <xf numFmtId="173" fontId="5" fillId="0" borderId="0" xfId="15" applyNumberFormat="1" applyFont="1" applyAlignment="1">
      <alignment/>
    </xf>
    <xf numFmtId="168" fontId="5" fillId="0" borderId="6" xfId="15" applyNumberFormat="1" applyFont="1" applyBorder="1" applyAlignment="1">
      <alignment horizontal="right" wrapText="1"/>
    </xf>
    <xf numFmtId="43" fontId="5" fillId="0" borderId="6" xfId="15" applyFont="1" applyBorder="1" applyAlignment="1">
      <alignment horizontal="right" wrapText="1"/>
    </xf>
    <xf numFmtId="168" fontId="5" fillId="0" borderId="10" xfId="15" applyNumberFormat="1" applyFont="1" applyBorder="1" applyAlignment="1">
      <alignment/>
    </xf>
    <xf numFmtId="0" fontId="5" fillId="0" borderId="0" xfId="0" applyFont="1" applyAlignment="1">
      <alignment/>
    </xf>
    <xf numFmtId="0" fontId="5" fillId="0" borderId="0" xfId="0" applyFont="1" applyAlignment="1">
      <alignment horizontal="right"/>
    </xf>
    <xf numFmtId="43" fontId="5" fillId="0" borderId="0" xfId="15" applyNumberFormat="1" applyFont="1" applyAlignment="1">
      <alignment/>
    </xf>
    <xf numFmtId="0" fontId="5" fillId="0" borderId="1" xfId="0" applyFont="1" applyBorder="1" applyAlignment="1">
      <alignment horizontal="right"/>
    </xf>
    <xf numFmtId="0" fontId="5" fillId="0" borderId="2" xfId="0" applyFont="1" applyBorder="1" applyAlignment="1">
      <alignment/>
    </xf>
    <xf numFmtId="168" fontId="16" fillId="3" borderId="5" xfId="15" applyNumberFormat="1" applyFont="1" applyFill="1" applyBorder="1" applyAlignment="1">
      <alignment horizontal="right" wrapText="1"/>
    </xf>
    <xf numFmtId="0" fontId="17" fillId="3" borderId="4" xfId="15" applyNumberFormat="1" applyFont="1" applyFill="1" applyBorder="1" applyAlignment="1">
      <alignment wrapText="1"/>
    </xf>
    <xf numFmtId="43" fontId="5" fillId="0" borderId="2" xfId="15" applyFont="1" applyBorder="1" applyAlignment="1">
      <alignment/>
    </xf>
    <xf numFmtId="0" fontId="5" fillId="0" borderId="3" xfId="0" applyFont="1" applyBorder="1" applyAlignment="1">
      <alignment/>
    </xf>
    <xf numFmtId="0" fontId="5" fillId="0" borderId="4" xfId="0" applyFont="1" applyBorder="1" applyAlignment="1">
      <alignment horizontal="right"/>
    </xf>
    <xf numFmtId="168" fontId="12" fillId="0" borderId="0" xfId="0" applyNumberFormat="1" applyFont="1" applyAlignment="1">
      <alignment/>
    </xf>
    <xf numFmtId="0" fontId="5" fillId="0" borderId="5" xfId="0" applyFont="1" applyBorder="1" applyAlignment="1">
      <alignment/>
    </xf>
    <xf numFmtId="168" fontId="10" fillId="0" borderId="0" xfId="0" applyNumberFormat="1" applyFont="1" applyAlignment="1">
      <alignment/>
    </xf>
    <xf numFmtId="168" fontId="10" fillId="0" borderId="6" xfId="0" applyNumberFormat="1" applyFont="1" applyBorder="1" applyAlignment="1">
      <alignment/>
    </xf>
    <xf numFmtId="43" fontId="10" fillId="0" borderId="6" xfId="15" applyFont="1" applyBorder="1" applyAlignment="1">
      <alignment/>
    </xf>
    <xf numFmtId="9" fontId="10" fillId="0" borderId="0" xfId="0" applyNumberFormat="1" applyFont="1" applyAlignment="1">
      <alignment/>
    </xf>
    <xf numFmtId="43" fontId="5" fillId="0" borderId="9" xfId="15" applyFont="1" applyBorder="1" applyAlignment="1">
      <alignment/>
    </xf>
    <xf numFmtId="0" fontId="8" fillId="0" borderId="0" xfId="0" applyFont="1" applyAlignment="1">
      <alignment/>
    </xf>
    <xf numFmtId="0" fontId="8" fillId="0" borderId="0" xfId="15" applyNumberFormat="1" applyFont="1" applyAlignment="1">
      <alignment/>
    </xf>
    <xf numFmtId="174" fontId="5" fillId="0" borderId="6" xfId="15" applyNumberFormat="1" applyFont="1" applyBorder="1" applyAlignment="1">
      <alignment/>
    </xf>
    <xf numFmtId="168" fontId="5" fillId="0" borderId="0" xfId="0" applyNumberFormat="1" applyFont="1" applyAlignment="1">
      <alignment/>
    </xf>
    <xf numFmtId="0" fontId="5" fillId="0" borderId="8" xfId="0" applyFont="1" applyBorder="1" applyAlignment="1">
      <alignment horizontal="right"/>
    </xf>
    <xf numFmtId="0" fontId="5" fillId="0" borderId="6" xfId="0" applyFont="1" applyBorder="1" applyAlignment="1">
      <alignment/>
    </xf>
    <xf numFmtId="43" fontId="5" fillId="0" borderId="6" xfId="15" applyFont="1" applyBorder="1" applyAlignment="1">
      <alignment/>
    </xf>
    <xf numFmtId="0" fontId="5" fillId="0" borderId="7" xfId="0" applyFont="1" applyBorder="1" applyAlignment="1">
      <alignment/>
    </xf>
    <xf numFmtId="43" fontId="0" fillId="0" borderId="0" xfId="15" applyNumberFormat="1" applyAlignment="1">
      <alignment/>
    </xf>
    <xf numFmtId="0" fontId="0" fillId="3" borderId="11" xfId="0" applyFill="1" applyBorder="1" applyAlignment="1">
      <alignment/>
    </xf>
    <xf numFmtId="0" fontId="0" fillId="3" borderId="12" xfId="0" applyFill="1" applyBorder="1" applyAlignment="1">
      <alignment/>
    </xf>
    <xf numFmtId="43" fontId="0" fillId="3" borderId="12" xfId="15"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0" xfId="0" applyFill="1" applyAlignment="1">
      <alignment/>
    </xf>
    <xf numFmtId="43" fontId="0" fillId="3" borderId="0" xfId="15" applyFill="1" applyAlignment="1">
      <alignment/>
    </xf>
    <xf numFmtId="0" fontId="0" fillId="3" borderId="0" xfId="0" applyFill="1" applyAlignment="1">
      <alignment horizontal="center"/>
    </xf>
    <xf numFmtId="0" fontId="0" fillId="0" borderId="6" xfId="0" applyBorder="1" applyAlignment="1">
      <alignment/>
    </xf>
    <xf numFmtId="0" fontId="0" fillId="3" borderId="0" xfId="0" applyFill="1" applyAlignment="1">
      <alignment horizontal="right"/>
    </xf>
    <xf numFmtId="168" fontId="0" fillId="3" borderId="0" xfId="15" applyNumberFormat="1" applyFill="1" applyAlignment="1">
      <alignment/>
    </xf>
    <xf numFmtId="0" fontId="0" fillId="3" borderId="0" xfId="0" applyFill="1" applyAlignment="1" quotePrefix="1">
      <alignment horizontal="right"/>
    </xf>
    <xf numFmtId="174" fontId="0" fillId="3" borderId="6" xfId="15" applyNumberFormat="1" applyFill="1" applyBorder="1" applyAlignment="1">
      <alignment/>
    </xf>
    <xf numFmtId="168" fontId="0" fillId="3" borderId="6" xfId="15" applyNumberFormat="1" applyFill="1" applyBorder="1" applyAlignment="1">
      <alignment/>
    </xf>
    <xf numFmtId="168" fontId="0" fillId="4" borderId="0" xfId="15" applyNumberFormat="1" applyFill="1" applyAlignment="1">
      <alignment/>
    </xf>
    <xf numFmtId="43" fontId="0" fillId="0" borderId="0" xfId="15" applyBorder="1" applyAlignment="1">
      <alignment/>
    </xf>
    <xf numFmtId="43" fontId="0" fillId="3" borderId="0" xfId="15" applyFill="1" applyBorder="1" applyAlignment="1">
      <alignment/>
    </xf>
    <xf numFmtId="43" fontId="0" fillId="3" borderId="16" xfId="15" applyFill="1" applyBorder="1" applyAlignment="1">
      <alignment/>
    </xf>
    <xf numFmtId="9" fontId="0" fillId="0" borderId="0" xfId="21" applyAlignment="1">
      <alignment/>
    </xf>
    <xf numFmtId="10" fontId="0" fillId="3" borderId="0" xfId="21" applyNumberFormat="1" applyFill="1" applyAlignment="1">
      <alignment/>
    </xf>
    <xf numFmtId="0" fontId="0" fillId="3" borderId="6" xfId="0" applyFill="1" applyBorder="1" applyAlignment="1">
      <alignment/>
    </xf>
    <xf numFmtId="0" fontId="0" fillId="3" borderId="17" xfId="0" applyFill="1" applyBorder="1" applyAlignment="1">
      <alignment/>
    </xf>
    <xf numFmtId="0" fontId="0" fillId="3" borderId="10" xfId="0" applyFill="1" applyBorder="1" applyAlignment="1">
      <alignment horizontal="center"/>
    </xf>
    <xf numFmtId="0" fontId="0" fillId="3" borderId="10" xfId="15" applyNumberFormat="1" applyFill="1" applyBorder="1" applyAlignment="1">
      <alignment horizontal="center"/>
    </xf>
    <xf numFmtId="0" fontId="0" fillId="3" borderId="18" xfId="0" applyFill="1" applyBorder="1" applyAlignment="1">
      <alignment/>
    </xf>
    <xf numFmtId="0" fontId="0" fillId="3" borderId="0" xfId="15" applyNumberFormat="1" applyFill="1" applyAlignment="1">
      <alignment horizontal="center"/>
    </xf>
    <xf numFmtId="0" fontId="14" fillId="3" borderId="0" xfId="0" applyFont="1" applyFill="1" applyAlignment="1">
      <alignment/>
    </xf>
    <xf numFmtId="0" fontId="3" fillId="3" borderId="0" xfId="20" applyFill="1" applyBorder="1" applyAlignment="1">
      <alignment horizontal="left"/>
    </xf>
    <xf numFmtId="0" fontId="3" fillId="3" borderId="0" xfId="20" applyNumberFormat="1" applyFill="1" applyBorder="1" applyAlignment="1">
      <alignment horizontal="left"/>
    </xf>
    <xf numFmtId="0" fontId="0" fillId="3" borderId="10" xfId="0" applyFill="1" applyBorder="1" applyAlignment="1">
      <alignment/>
    </xf>
    <xf numFmtId="43" fontId="0" fillId="3" borderId="10" xfId="15" applyFill="1" applyBorder="1" applyAlignment="1">
      <alignment/>
    </xf>
    <xf numFmtId="0" fontId="16" fillId="0" borderId="0" xfId="0" applyFont="1" applyAlignment="1">
      <alignment/>
    </xf>
    <xf numFmtId="168" fontId="16" fillId="0" borderId="0" xfId="15" applyNumberFormat="1" applyFont="1" applyAlignment="1">
      <alignment/>
    </xf>
    <xf numFmtId="0" fontId="16" fillId="0" borderId="0" xfId="0" applyFont="1" applyAlignment="1">
      <alignment horizontal="right"/>
    </xf>
    <xf numFmtId="0" fontId="16" fillId="3" borderId="0" xfId="0" applyFont="1" applyFill="1" applyAlignment="1">
      <alignment/>
    </xf>
    <xf numFmtId="168" fontId="16" fillId="3" borderId="0" xfId="15" applyNumberFormat="1" applyFont="1" applyFill="1" applyAlignment="1">
      <alignment/>
    </xf>
    <xf numFmtId="0" fontId="13" fillId="3" borderId="0" xfId="0" applyFont="1" applyFill="1" applyAlignment="1">
      <alignment horizontal="left"/>
    </xf>
    <xf numFmtId="0" fontId="16" fillId="3" borderId="0" xfId="0" applyFont="1" applyFill="1" applyAlignment="1">
      <alignment horizontal="right"/>
    </xf>
    <xf numFmtId="43" fontId="16" fillId="3" borderId="0" xfId="15" applyFont="1" applyFill="1" applyBorder="1" applyAlignment="1">
      <alignment/>
    </xf>
    <xf numFmtId="0" fontId="16" fillId="3" borderId="2" xfId="0" applyFont="1" applyFill="1" applyBorder="1" applyAlignment="1">
      <alignment/>
    </xf>
    <xf numFmtId="43" fontId="16" fillId="3" borderId="0" xfId="15" applyFont="1" applyFill="1" applyAlignment="1">
      <alignment/>
    </xf>
    <xf numFmtId="168" fontId="16" fillId="3" borderId="3" xfId="15" applyNumberFormat="1" applyFont="1" applyFill="1" applyBorder="1" applyAlignment="1">
      <alignment/>
    </xf>
    <xf numFmtId="168" fontId="16" fillId="3" borderId="5" xfId="15" applyNumberFormat="1" applyFont="1" applyFill="1" applyBorder="1" applyAlignment="1">
      <alignment/>
    </xf>
    <xf numFmtId="0" fontId="16" fillId="3" borderId="2" xfId="0" applyFont="1" applyFill="1" applyBorder="1" applyAlignment="1">
      <alignment horizontal="right"/>
    </xf>
    <xf numFmtId="168" fontId="16" fillId="3" borderId="2" xfId="15" applyNumberFormat="1" applyFont="1" applyFill="1" applyBorder="1" applyAlignment="1">
      <alignment/>
    </xf>
    <xf numFmtId="0" fontId="16" fillId="3" borderId="3" xfId="0" applyFont="1" applyFill="1" applyBorder="1" applyAlignment="1">
      <alignment/>
    </xf>
    <xf numFmtId="43" fontId="12" fillId="3" borderId="0" xfId="15" applyFont="1" applyFill="1" applyBorder="1" applyAlignment="1">
      <alignment/>
    </xf>
    <xf numFmtId="43" fontId="12" fillId="3" borderId="4" xfId="15" applyFont="1" applyFill="1" applyBorder="1" applyAlignment="1">
      <alignment/>
    </xf>
    <xf numFmtId="0" fontId="16" fillId="3" borderId="5" xfId="0" applyFont="1" applyFill="1" applyBorder="1" applyAlignment="1">
      <alignment/>
    </xf>
    <xf numFmtId="43" fontId="16" fillId="3" borderId="4" xfId="15" applyFont="1" applyFill="1" applyBorder="1" applyAlignment="1">
      <alignment horizontal="center"/>
    </xf>
    <xf numFmtId="43" fontId="16" fillId="3" borderId="4" xfId="15" applyFont="1" applyFill="1" applyBorder="1" applyAlignment="1">
      <alignment/>
    </xf>
    <xf numFmtId="0" fontId="0" fillId="3" borderId="0" xfId="0" applyFont="1" applyFill="1" applyAlignment="1">
      <alignment/>
    </xf>
    <xf numFmtId="43" fontId="0" fillId="3" borderId="0" xfId="15" applyFont="1" applyFill="1" applyAlignment="1">
      <alignment/>
    </xf>
    <xf numFmtId="168" fontId="0" fillId="3" borderId="5" xfId="15" applyNumberFormat="1" applyFont="1" applyFill="1" applyBorder="1" applyAlignment="1">
      <alignment/>
    </xf>
    <xf numFmtId="0" fontId="0" fillId="3" borderId="0" xfId="0" applyFont="1" applyFill="1" applyAlignment="1">
      <alignment horizontal="right"/>
    </xf>
    <xf numFmtId="168" fontId="0" fillId="3" borderId="0" xfId="15" applyNumberFormat="1" applyFont="1" applyFill="1" applyAlignment="1">
      <alignment/>
    </xf>
    <xf numFmtId="0" fontId="0" fillId="3" borderId="5" xfId="0" applyFont="1" applyFill="1" applyBorder="1" applyAlignment="1">
      <alignment/>
    </xf>
    <xf numFmtId="0" fontId="0" fillId="0" borderId="0" xfId="0" applyFont="1" applyFill="1" applyAlignment="1">
      <alignment/>
    </xf>
    <xf numFmtId="43" fontId="17" fillId="3" borderId="4" xfId="15" applyFont="1" applyFill="1" applyBorder="1" applyAlignment="1">
      <alignment wrapText="1"/>
    </xf>
    <xf numFmtId="0" fontId="17" fillId="3" borderId="0" xfId="0" applyFont="1" applyFill="1" applyAlignment="1">
      <alignment wrapText="1"/>
    </xf>
    <xf numFmtId="43" fontId="16" fillId="3" borderId="4" xfId="15" applyFont="1" applyFill="1" applyBorder="1" applyAlignment="1">
      <alignment wrapText="1"/>
    </xf>
    <xf numFmtId="0" fontId="16" fillId="3" borderId="0" xfId="0" applyFont="1" applyFill="1" applyAlignment="1">
      <alignment wrapText="1"/>
    </xf>
    <xf numFmtId="0" fontId="16" fillId="3" borderId="0" xfId="0" applyFont="1" applyFill="1" applyAlignment="1">
      <alignment horizontal="right" wrapText="1"/>
    </xf>
    <xf numFmtId="168" fontId="16" fillId="3" borderId="5" xfId="15" applyNumberFormat="1" applyFont="1" applyFill="1" applyBorder="1" applyAlignment="1">
      <alignment horizontal="right" wrapText="1"/>
    </xf>
    <xf numFmtId="3" fontId="16" fillId="3" borderId="0" xfId="0" applyNumberFormat="1" applyFont="1" applyFill="1" applyAlignment="1">
      <alignment horizontal="right" wrapText="1"/>
    </xf>
    <xf numFmtId="9" fontId="0" fillId="3" borderId="0" xfId="21" applyFont="1" applyFill="1" applyAlignment="1">
      <alignment/>
    </xf>
    <xf numFmtId="9" fontId="0" fillId="3" borderId="5" xfId="21" applyFont="1" applyFill="1" applyBorder="1" applyAlignment="1">
      <alignment/>
    </xf>
    <xf numFmtId="3" fontId="16" fillId="3" borderId="6" xfId="0" applyNumberFormat="1" applyFont="1" applyFill="1" applyBorder="1" applyAlignment="1">
      <alignment horizontal="right" wrapText="1"/>
    </xf>
    <xf numFmtId="168" fontId="0" fillId="3" borderId="7" xfId="15" applyNumberFormat="1" applyFont="1" applyFill="1" applyBorder="1" applyAlignment="1">
      <alignment/>
    </xf>
    <xf numFmtId="9" fontId="0" fillId="3" borderId="7" xfId="21" applyFont="1" applyFill="1" applyBorder="1" applyAlignment="1">
      <alignment/>
    </xf>
    <xf numFmtId="168" fontId="13" fillId="3" borderId="0" xfId="15" applyNumberFormat="1" applyFont="1" applyFill="1" applyBorder="1" applyAlignment="1">
      <alignment/>
    </xf>
    <xf numFmtId="168" fontId="13" fillId="3" borderId="9" xfId="15" applyNumberFormat="1" applyFont="1" applyFill="1" applyBorder="1" applyAlignment="1">
      <alignment/>
    </xf>
    <xf numFmtId="9" fontId="0" fillId="3" borderId="6" xfId="21" applyFont="1" applyFill="1" applyBorder="1" applyAlignment="1">
      <alignment/>
    </xf>
    <xf numFmtId="0" fontId="16" fillId="3" borderId="6" xfId="0" applyFont="1" applyFill="1" applyBorder="1" applyAlignment="1">
      <alignment wrapText="1"/>
    </xf>
    <xf numFmtId="168" fontId="0" fillId="3" borderId="6" xfId="15" applyNumberFormat="1" applyFont="1" applyFill="1" applyBorder="1" applyAlignment="1">
      <alignment/>
    </xf>
    <xf numFmtId="43" fontId="16" fillId="3" borderId="5" xfId="15" applyFont="1" applyFill="1" applyBorder="1" applyAlignment="1">
      <alignment/>
    </xf>
    <xf numFmtId="168" fontId="16" fillId="3" borderId="6" xfId="15" applyNumberFormat="1" applyFont="1" applyFill="1" applyBorder="1" applyAlignment="1">
      <alignment/>
    </xf>
    <xf numFmtId="168" fontId="16" fillId="3" borderId="7" xfId="15" applyNumberFormat="1" applyFont="1" applyFill="1" applyBorder="1" applyAlignment="1">
      <alignment/>
    </xf>
    <xf numFmtId="168" fontId="0" fillId="2" borderId="0" xfId="15" applyNumberFormat="1" applyFont="1" applyFill="1" applyAlignment="1">
      <alignment/>
    </xf>
    <xf numFmtId="0" fontId="16" fillId="3" borderId="5" xfId="15" applyNumberFormat="1" applyFont="1" applyFill="1" applyBorder="1" applyAlignment="1">
      <alignment horizontal="right"/>
    </xf>
    <xf numFmtId="43" fontId="16" fillId="3" borderId="4" xfId="15" applyFont="1" applyFill="1" applyBorder="1" applyAlignment="1">
      <alignment horizontal="right" wrapText="1"/>
    </xf>
    <xf numFmtId="0" fontId="13" fillId="3" borderId="0" xfId="0" applyFont="1" applyFill="1" applyAlignment="1">
      <alignment/>
    </xf>
    <xf numFmtId="0" fontId="13" fillId="3" borderId="9" xfId="15" applyNumberFormat="1" applyFont="1" applyFill="1" applyBorder="1" applyAlignment="1">
      <alignment/>
    </xf>
    <xf numFmtId="0" fontId="13" fillId="3" borderId="0" xfId="15" applyNumberFormat="1" applyFont="1" applyFill="1" applyBorder="1" applyAlignment="1">
      <alignment/>
    </xf>
    <xf numFmtId="3" fontId="16" fillId="3" borderId="0" xfId="0" applyNumberFormat="1" applyFont="1" applyFill="1" applyAlignment="1">
      <alignment/>
    </xf>
    <xf numFmtId="168" fontId="16" fillId="3" borderId="0" xfId="0" applyNumberFormat="1" applyFont="1" applyFill="1" applyAlignment="1">
      <alignment/>
    </xf>
    <xf numFmtId="0" fontId="16" fillId="3" borderId="0" xfId="0" applyFont="1" applyFill="1" applyAlignment="1" quotePrefix="1">
      <alignment/>
    </xf>
    <xf numFmtId="168" fontId="0" fillId="5" borderId="0" xfId="15" applyNumberFormat="1" applyFont="1" applyFill="1" applyAlignment="1">
      <alignment/>
    </xf>
    <xf numFmtId="168" fontId="0" fillId="6" borderId="6" xfId="15" applyNumberFormat="1" applyFont="1" applyFill="1" applyBorder="1" applyAlignment="1">
      <alignment/>
    </xf>
    <xf numFmtId="168" fontId="0" fillId="3" borderId="5" xfId="0" applyNumberFormat="1" applyFont="1" applyFill="1" applyBorder="1" applyAlignment="1">
      <alignment/>
    </xf>
    <xf numFmtId="168" fontId="0" fillId="6" borderId="0" xfId="15" applyNumberFormat="1" applyFont="1" applyFill="1" applyAlignment="1">
      <alignment/>
    </xf>
    <xf numFmtId="43" fontId="16" fillId="3" borderId="4" xfId="15" applyFont="1" applyFill="1" applyBorder="1" applyAlignment="1">
      <alignment horizontal="left" wrapText="1"/>
    </xf>
    <xf numFmtId="43" fontId="16" fillId="3" borderId="0" xfId="15" applyFont="1" applyFill="1" applyAlignment="1">
      <alignment horizontal="right" wrapText="1"/>
    </xf>
    <xf numFmtId="43" fontId="16" fillId="3" borderId="0" xfId="15" applyFont="1" applyFill="1" applyAlignment="1">
      <alignment horizontal="right"/>
    </xf>
    <xf numFmtId="43" fontId="0" fillId="3" borderId="0" xfId="15" applyFont="1" applyFill="1" applyAlignment="1">
      <alignment horizontal="right" wrapText="1"/>
    </xf>
    <xf numFmtId="43" fontId="0" fillId="3" borderId="0" xfId="15" applyFont="1" applyFill="1" applyAlignment="1">
      <alignment horizontal="right"/>
    </xf>
    <xf numFmtId="0" fontId="0" fillId="0" borderId="5" xfId="0" applyFont="1" applyFill="1" applyBorder="1" applyAlignment="1">
      <alignment/>
    </xf>
    <xf numFmtId="0" fontId="16" fillId="3" borderId="6" xfId="0" applyFont="1" applyFill="1" applyBorder="1" applyAlignment="1">
      <alignment horizontal="right" wrapText="1"/>
    </xf>
    <xf numFmtId="0" fontId="16" fillId="3" borderId="6" xfId="0" applyFont="1" applyFill="1" applyBorder="1" applyAlignment="1">
      <alignment horizontal="right"/>
    </xf>
    <xf numFmtId="43" fontId="0" fillId="3" borderId="6" xfId="15" applyFont="1" applyFill="1" applyBorder="1" applyAlignment="1">
      <alignment horizontal="right" wrapText="1"/>
    </xf>
    <xf numFmtId="0" fontId="0" fillId="3" borderId="6" xfId="0" applyFont="1" applyFill="1" applyBorder="1" applyAlignment="1">
      <alignment horizontal="right"/>
    </xf>
    <xf numFmtId="43" fontId="16" fillId="3" borderId="4" xfId="15" applyFont="1" applyFill="1" applyBorder="1" applyAlignment="1">
      <alignment horizontal="left" vertical="top"/>
    </xf>
    <xf numFmtId="175" fontId="16" fillId="3" borderId="0" xfId="0" applyNumberFormat="1" applyFont="1" applyFill="1" applyAlignment="1">
      <alignment/>
    </xf>
    <xf numFmtId="171" fontId="16" fillId="3" borderId="0" xfId="0" applyNumberFormat="1" applyFont="1" applyFill="1" applyAlignment="1">
      <alignment/>
    </xf>
    <xf numFmtId="43" fontId="0" fillId="3" borderId="5" xfId="15" applyFont="1" applyFill="1" applyBorder="1" applyAlignment="1">
      <alignment/>
    </xf>
    <xf numFmtId="0" fontId="0" fillId="6" borderId="0" xfId="15" applyNumberFormat="1" applyFont="1" applyFill="1" applyAlignment="1">
      <alignment horizontal="right"/>
    </xf>
    <xf numFmtId="0" fontId="0" fillId="3" borderId="6" xfId="0" applyFont="1" applyFill="1" applyBorder="1" applyAlignment="1">
      <alignment/>
    </xf>
    <xf numFmtId="43" fontId="0" fillId="3" borderId="6" xfId="15" applyFont="1" applyFill="1" applyBorder="1" applyAlignment="1">
      <alignment horizontal="right"/>
    </xf>
    <xf numFmtId="0" fontId="0" fillId="0" borderId="6" xfId="0" applyFont="1" applyFill="1" applyBorder="1" applyAlignment="1">
      <alignment horizontal="right"/>
    </xf>
    <xf numFmtId="168" fontId="0" fillId="0" borderId="6" xfId="15" applyNumberFormat="1" applyFont="1" applyFill="1" applyBorder="1" applyAlignment="1">
      <alignment/>
    </xf>
    <xf numFmtId="0" fontId="0" fillId="0" borderId="7" xfId="0" applyFont="1" applyFill="1" applyBorder="1" applyAlignment="1">
      <alignment/>
    </xf>
    <xf numFmtId="43" fontId="17" fillId="3" borderId="4" xfId="15" applyFont="1" applyFill="1" applyBorder="1" applyAlignment="1">
      <alignment/>
    </xf>
    <xf numFmtId="0" fontId="0" fillId="0" borderId="0" xfId="0" applyFont="1" applyFill="1" applyAlignment="1">
      <alignment horizontal="right"/>
    </xf>
    <xf numFmtId="168" fontId="0" fillId="0" borderId="0" xfId="15" applyNumberFormat="1" applyFont="1" applyFill="1" applyAlignment="1">
      <alignment/>
    </xf>
    <xf numFmtId="43" fontId="2" fillId="3" borderId="4" xfId="15" applyFont="1" applyFill="1" applyBorder="1" applyAlignment="1">
      <alignment/>
    </xf>
    <xf numFmtId="43" fontId="2" fillId="3" borderId="4" xfId="15" applyFont="1" applyFill="1" applyBorder="1" applyAlignment="1">
      <alignment wrapText="1"/>
    </xf>
    <xf numFmtId="43" fontId="16" fillId="3" borderId="8" xfId="15" applyFont="1" applyFill="1" applyBorder="1" applyAlignment="1">
      <alignment/>
    </xf>
    <xf numFmtId="168" fontId="0" fillId="3" borderId="19" xfId="15" applyNumberFormat="1" applyFont="1" applyFill="1" applyBorder="1" applyAlignment="1">
      <alignment/>
    </xf>
    <xf numFmtId="43" fontId="16" fillId="0" borderId="0" xfId="15" applyFont="1" applyAlignment="1">
      <alignment wrapText="1"/>
    </xf>
    <xf numFmtId="0" fontId="0" fillId="0" borderId="0" xfId="0" applyFont="1" applyAlignment="1">
      <alignment/>
    </xf>
    <xf numFmtId="168" fontId="0" fillId="0" borderId="0" xfId="15" applyNumberFormat="1" applyFont="1" applyBorder="1" applyAlignment="1">
      <alignment/>
    </xf>
    <xf numFmtId="0" fontId="0" fillId="0" borderId="0" xfId="0" applyFont="1" applyAlignment="1">
      <alignment horizontal="right"/>
    </xf>
    <xf numFmtId="168" fontId="0" fillId="0" borderId="0" xfId="15" applyNumberFormat="1" applyFont="1" applyAlignment="1">
      <alignment/>
    </xf>
    <xf numFmtId="43" fontId="19" fillId="0" borderId="0" xfId="15" applyFont="1" applyAlignment="1">
      <alignment horizontal="center" wrapText="1"/>
    </xf>
    <xf numFmtId="43" fontId="2" fillId="0" borderId="0" xfId="15" applyFont="1" applyAlignment="1">
      <alignment wrapText="1"/>
    </xf>
    <xf numFmtId="0" fontId="0" fillId="3" borderId="6" xfId="0" applyFill="1" applyBorder="1" applyAlignment="1">
      <alignment horizontal="center"/>
    </xf>
    <xf numFmtId="0" fontId="0" fillId="3" borderId="0" xfId="0" applyFill="1" applyAlignment="1">
      <alignment horizontal="center"/>
    </xf>
    <xf numFmtId="0" fontId="0" fillId="3" borderId="0" xfId="0" applyFill="1" applyAlignment="1">
      <alignment horizontal="left" vertical="top" wrapText="1"/>
    </xf>
    <xf numFmtId="0" fontId="0" fillId="0" borderId="1" xfId="0" applyBorder="1" applyAlignment="1">
      <alignment/>
    </xf>
    <xf numFmtId="0" fontId="20" fillId="0" borderId="0" xfId="0" applyFont="1" applyAlignment="1">
      <alignment/>
    </xf>
    <xf numFmtId="0" fontId="20" fillId="0" borderId="2" xfId="0" applyFont="1" applyBorder="1" applyAlignment="1">
      <alignment/>
    </xf>
    <xf numFmtId="43" fontId="0" fillId="0" borderId="2" xfId="15" applyBorder="1" applyAlignment="1">
      <alignment/>
    </xf>
    <xf numFmtId="43" fontId="0" fillId="0" borderId="3" xfId="15" applyBorder="1" applyAlignment="1">
      <alignment/>
    </xf>
    <xf numFmtId="0" fontId="0" fillId="0" borderId="4" xfId="0" applyBorder="1" applyAlignment="1">
      <alignment/>
    </xf>
    <xf numFmtId="43" fontId="0" fillId="0" borderId="5" xfId="15" applyBorder="1" applyAlignment="1">
      <alignment/>
    </xf>
    <xf numFmtId="0" fontId="0" fillId="0" borderId="6" xfId="0" applyBorder="1" applyAlignment="1">
      <alignment horizontal="right"/>
    </xf>
    <xf numFmtId="43" fontId="0" fillId="0" borderId="6" xfId="15" applyBorder="1" applyAlignment="1">
      <alignment/>
    </xf>
    <xf numFmtId="43" fontId="0" fillId="0" borderId="7" xfId="15" applyBorder="1" applyAlignment="1">
      <alignment/>
    </xf>
    <xf numFmtId="43" fontId="0" fillId="4" borderId="0" xfId="15" applyFill="1" applyAlignment="1">
      <alignment/>
    </xf>
    <xf numFmtId="0" fontId="0" fillId="0" borderId="4" xfId="0" applyBorder="1" applyAlignment="1">
      <alignment horizontal="right"/>
    </xf>
    <xf numFmtId="168" fontId="0" fillId="0" borderId="0" xfId="15" applyNumberFormat="1" applyAlignment="1">
      <alignment/>
    </xf>
    <xf numFmtId="168" fontId="0" fillId="4" borderId="6" xfId="15" applyNumberFormat="1" applyFill="1" applyBorder="1" applyAlignment="1">
      <alignment/>
    </xf>
    <xf numFmtId="43" fontId="0" fillId="4" borderId="0" xfId="15" applyFill="1" applyAlignment="1">
      <alignment horizontal="left"/>
    </xf>
    <xf numFmtId="168" fontId="0" fillId="2" borderId="0" xfId="15" applyNumberFormat="1" applyFill="1" applyAlignment="1">
      <alignment/>
    </xf>
    <xf numFmtId="168" fontId="0" fillId="0" borderId="6" xfId="15" applyNumberFormat="1" applyBorder="1" applyAlignment="1">
      <alignment/>
    </xf>
    <xf numFmtId="43" fontId="0" fillId="0" borderId="9" xfId="15" applyBorder="1" applyAlignment="1">
      <alignment/>
    </xf>
    <xf numFmtId="43" fontId="13" fillId="0" borderId="0" xfId="15" applyFont="1" applyAlignment="1">
      <alignment/>
    </xf>
    <xf numFmtId="43" fontId="0" fillId="5" borderId="0" xfId="15" applyFill="1" applyAlignment="1">
      <alignment/>
    </xf>
    <xf numFmtId="10" fontId="0" fillId="5" borderId="6" xfId="21" applyNumberFormat="1" applyFill="1" applyBorder="1" applyAlignment="1">
      <alignment/>
    </xf>
    <xf numFmtId="168" fontId="13" fillId="0" borderId="0" xfId="15" applyNumberFormat="1" applyFont="1" applyAlignment="1">
      <alignment/>
    </xf>
    <xf numFmtId="176" fontId="0" fillId="0" borderId="0" xfId="0" applyNumberFormat="1" applyAlignment="1">
      <alignment/>
    </xf>
    <xf numFmtId="176" fontId="0" fillId="0" borderId="0" xfId="15" applyNumberFormat="1" applyAlignment="1">
      <alignment/>
    </xf>
    <xf numFmtId="174" fontId="0" fillId="0" borderId="0" xfId="15" applyNumberFormat="1" applyAlignment="1">
      <alignment/>
    </xf>
    <xf numFmtId="177" fontId="0" fillId="0" borderId="0" xfId="15" applyNumberFormat="1" applyAlignment="1">
      <alignment/>
    </xf>
    <xf numFmtId="168" fontId="0" fillId="0" borderId="0" xfId="0" applyNumberFormat="1" applyAlignment="1">
      <alignment/>
    </xf>
    <xf numFmtId="168" fontId="0" fillId="5" borderId="0" xfId="15" applyNumberFormat="1" applyFill="1" applyAlignment="1">
      <alignment/>
    </xf>
    <xf numFmtId="0" fontId="13" fillId="0" borderId="0" xfId="0" applyFont="1" applyAlignment="1">
      <alignment/>
    </xf>
    <xf numFmtId="0" fontId="13" fillId="0" borderId="0" xfId="15" applyNumberFormat="1" applyFont="1" applyAlignment="1">
      <alignment/>
    </xf>
    <xf numFmtId="0" fontId="13" fillId="0" borderId="0" xfId="0" applyFont="1" applyAlignment="1">
      <alignment horizontal="left" indent="1"/>
    </xf>
    <xf numFmtId="43" fontId="0" fillId="0" borderId="4" xfId="15" applyBorder="1" applyAlignment="1">
      <alignment horizontal="right"/>
    </xf>
    <xf numFmtId="168" fontId="0" fillId="0" borderId="5" xfId="15" applyNumberFormat="1" applyBorder="1" applyAlignment="1">
      <alignment/>
    </xf>
    <xf numFmtId="0" fontId="13" fillId="0" borderId="0" xfId="15" applyNumberFormat="1" applyFont="1" applyAlignment="1">
      <alignment horizontal="left" indent="1"/>
    </xf>
    <xf numFmtId="168" fontId="0" fillId="2" borderId="0" xfId="0" applyNumberFormat="1" applyFill="1" applyAlignment="1">
      <alignment/>
    </xf>
    <xf numFmtId="168" fontId="0" fillId="0" borderId="0" xfId="15" applyNumberFormat="1" applyBorder="1" applyAlignment="1">
      <alignment/>
    </xf>
    <xf numFmtId="168" fontId="0" fillId="0" borderId="9" xfId="15" applyNumberFormat="1" applyBorder="1" applyAlignment="1">
      <alignment/>
    </xf>
    <xf numFmtId="43" fontId="0" fillId="0" borderId="0" xfId="0" applyNumberFormat="1" applyAlignment="1">
      <alignment/>
    </xf>
    <xf numFmtId="43" fontId="0" fillId="0" borderId="1" xfId="15" applyBorder="1" applyAlignment="1">
      <alignment horizontal="right"/>
    </xf>
    <xf numFmtId="0" fontId="0" fillId="0" borderId="2" xfId="0" applyBorder="1" applyAlignment="1">
      <alignment/>
    </xf>
    <xf numFmtId="0" fontId="0" fillId="0" borderId="4" xfId="0" applyBorder="1" applyAlignment="1">
      <alignment horizontal="right" vertical="top"/>
    </xf>
    <xf numFmtId="43" fontId="0" fillId="0" borderId="0" xfId="15" applyAlignment="1" quotePrefix="1">
      <alignment/>
    </xf>
    <xf numFmtId="0" fontId="0" fillId="0" borderId="8" xfId="0" applyBorder="1" applyAlignment="1">
      <alignment/>
    </xf>
    <xf numFmtId="11" fontId="0" fillId="0" borderId="0" xfId="0" applyNumberFormat="1" applyAlignment="1">
      <alignment/>
    </xf>
    <xf numFmtId="0" fontId="0" fillId="4" borderId="0" xfId="0" applyFill="1" applyAlignment="1">
      <alignment/>
    </xf>
    <xf numFmtId="43" fontId="3" fillId="0" borderId="0" xfId="20" applyAlignment="1">
      <alignment horizontal="left" vertical="top" wrapText="1" shrinkToFit="1"/>
    </xf>
    <xf numFmtId="0" fontId="5" fillId="0" borderId="0" xfId="0" applyFont="1" applyAlignment="1">
      <alignment horizontal="left" vertical="top" wrapText="1" shrinkToFit="1"/>
    </xf>
    <xf numFmtId="0" fontId="5" fillId="0" borderId="9" xfId="0" applyFont="1" applyBorder="1" applyAlignment="1">
      <alignment horizontal="left" vertical="top" wrapText="1" shrinkToFit="1"/>
    </xf>
    <xf numFmtId="0" fontId="5" fillId="0" borderId="0" xfId="15" applyNumberFormat="1" applyFont="1" applyBorder="1" applyAlignment="1">
      <alignment wrapText="1"/>
    </xf>
    <xf numFmtId="4" fontId="5" fillId="0" borderId="0" xfId="15" applyNumberFormat="1" applyFont="1" applyBorder="1" applyAlignment="1">
      <alignment wrapText="1"/>
    </xf>
    <xf numFmtId="168" fontId="5" fillId="0" borderId="8" xfId="15" applyNumberFormat="1" applyFont="1" applyBorder="1" applyAlignment="1">
      <alignment horizontal="center"/>
    </xf>
    <xf numFmtId="168" fontId="5" fillId="0" borderId="6" xfId="15" applyNumberFormat="1" applyFont="1" applyBorder="1" applyAlignment="1">
      <alignment horizontal="center"/>
    </xf>
    <xf numFmtId="168" fontId="8" fillId="0" borderId="8" xfId="15" applyNumberFormat="1" applyFont="1" applyBorder="1" applyAlignment="1">
      <alignment horizontal="center"/>
    </xf>
    <xf numFmtId="168" fontId="8" fillId="0" borderId="20" xfId="15" applyNumberFormat="1" applyFont="1" applyBorder="1" applyAlignment="1">
      <alignment horizontal="center"/>
    </xf>
    <xf numFmtId="168" fontId="8" fillId="0" borderId="21" xfId="15" applyNumberFormat="1" applyFont="1" applyBorder="1" applyAlignment="1">
      <alignment horizontal="center"/>
    </xf>
    <xf numFmtId="168" fontId="12" fillId="0" borderId="0" xfId="0" applyNumberFormat="1" applyFont="1" applyAlignment="1">
      <alignment horizontal="left"/>
    </xf>
    <xf numFmtId="168" fontId="12" fillId="0" borderId="9" xfId="0" applyNumberFormat="1" applyFont="1" applyBorder="1" applyAlignment="1">
      <alignment horizontal="left"/>
    </xf>
    <xf numFmtId="168" fontId="12" fillId="0" borderId="0" xfId="0" applyNumberFormat="1" applyFont="1" applyAlignment="1">
      <alignment horizontal="center"/>
    </xf>
    <xf numFmtId="0" fontId="17" fillId="3" borderId="0" xfId="15" applyNumberFormat="1" applyFont="1" applyFill="1" applyBorder="1" applyAlignment="1">
      <alignment wrapText="1"/>
    </xf>
    <xf numFmtId="0" fontId="17" fillId="3" borderId="4" xfId="15" applyNumberFormat="1" applyFont="1" applyFill="1" applyBorder="1" applyAlignment="1">
      <alignment horizontal="left" wrapText="1"/>
    </xf>
    <xf numFmtId="0" fontId="17" fillId="3" borderId="0" xfId="15" applyNumberFormat="1" applyFont="1" applyFill="1" applyBorder="1" applyAlignment="1">
      <alignment horizontal="left" wrapText="1"/>
    </xf>
    <xf numFmtId="43" fontId="17" fillId="3" borderId="1" xfId="15" applyFont="1" applyFill="1" applyBorder="1" applyAlignment="1">
      <alignment horizontal="left" wrapText="1"/>
    </xf>
    <xf numFmtId="43" fontId="17" fillId="3" borderId="2" xfId="15" applyFont="1" applyFill="1" applyBorder="1" applyAlignment="1">
      <alignment horizontal="left" wrapText="1"/>
    </xf>
    <xf numFmtId="43" fontId="17" fillId="3" borderId="4" xfId="15" applyFont="1" applyFill="1" applyBorder="1" applyAlignment="1">
      <alignment horizontal="left" wrapText="1"/>
    </xf>
    <xf numFmtId="43" fontId="17" fillId="3" borderId="0" xfId="15" applyFont="1" applyFill="1" applyBorder="1" applyAlignment="1">
      <alignment horizontal="left" wrapText="1"/>
    </xf>
    <xf numFmtId="43" fontId="17" fillId="3" borderId="4" xfId="15" applyFont="1" applyFill="1" applyBorder="1" applyAlignment="1">
      <alignment wrapText="1"/>
    </xf>
    <xf numFmtId="43" fontId="17" fillId="3" borderId="0" xfId="15" applyFont="1" applyFill="1" applyBorder="1" applyAlignment="1">
      <alignment wrapText="1"/>
    </xf>
    <xf numFmtId="0" fontId="16" fillId="3" borderId="0" xfId="0" applyFont="1" applyFill="1" applyAlignment="1">
      <alignment horizontal="right" wrapText="1"/>
    </xf>
    <xf numFmtId="0" fontId="0" fillId="0" borderId="0" xfId="0" applyAlignment="1">
      <alignment vertical="top" wrapText="1"/>
    </xf>
    <xf numFmtId="0" fontId="0" fillId="0" borderId="9" xfId="0" applyBorder="1" applyAlignment="1">
      <alignment vertical="top" wrapText="1"/>
    </xf>
    <xf numFmtId="43" fontId="16" fillId="0" borderId="0" xfId="15" applyFont="1" applyAlignment="1">
      <alignment/>
    </xf>
    <xf numFmtId="43" fontId="0" fillId="3" borderId="0" xfId="0" applyNumberFormat="1"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Verdana"/>
                <a:ea typeface="Verdana"/>
                <a:cs typeface="Verdana"/>
              </a:rPr>
              <a:t>Land Paved per Capita</a:t>
            </a:r>
          </a:p>
        </c:rich>
      </c:tx>
      <c:layout/>
      <c:spPr>
        <a:noFill/>
        <a:ln>
          <a:noFill/>
        </a:ln>
      </c:spPr>
    </c:title>
    <c:plotArea>
      <c:layout/>
      <c:barChart>
        <c:barDir val="col"/>
        <c:grouping val="clustered"/>
        <c:varyColors val="1"/>
        <c:ser>
          <c:idx val="0"/>
          <c:order val="0"/>
          <c:tx>
            <c:v>PerCapita</c:v>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PavedArea!$A$52:$A$61</c:f>
              <c:strCache/>
            </c:strRef>
          </c:cat>
          <c:val>
            <c:numRef>
              <c:f>PavedArea!$H$52:$H$61</c:f>
              <c:numCache/>
            </c:numRef>
          </c:val>
        </c:ser>
        <c:axId val="63783344"/>
        <c:axId val="64381809"/>
      </c:barChart>
      <c:catAx>
        <c:axId val="63783344"/>
        <c:scaling>
          <c:orientation val="minMax"/>
        </c:scaling>
        <c:axPos val="b"/>
        <c:delete val="0"/>
        <c:numFmt formatCode="General" sourceLinked="1"/>
        <c:majorTickMark val="out"/>
        <c:minorTickMark val="none"/>
        <c:tickLblPos val="nextTo"/>
        <c:txPr>
          <a:bodyPr vert="horz" rot="-5400000"/>
          <a:lstStyle/>
          <a:p>
            <a:pPr>
              <a:defRPr lang="en-US" cap="none" sz="850" b="0" i="0" u="none" baseline="0">
                <a:latin typeface="Verdana"/>
                <a:ea typeface="Verdana"/>
                <a:cs typeface="Verdana"/>
              </a:defRPr>
            </a:pPr>
          </a:p>
        </c:txPr>
        <c:crossAx val="64381809"/>
        <c:crosses val="autoZero"/>
        <c:auto val="0"/>
        <c:lblOffset val="100"/>
        <c:noMultiLvlLbl val="0"/>
      </c:catAx>
      <c:valAx>
        <c:axId val="64381809"/>
        <c:scaling>
          <c:orientation val="minMax"/>
        </c:scaling>
        <c:axPos val="l"/>
        <c:majorGridlines/>
        <c:delete val="0"/>
        <c:numFmt formatCode="General" sourceLinked="1"/>
        <c:majorTickMark val="out"/>
        <c:minorTickMark val="none"/>
        <c:tickLblPos val="nextTo"/>
        <c:crossAx val="63783344"/>
        <c:crossesAt val="1"/>
        <c:crossBetween val="between"/>
        <c:dispUnits/>
      </c:valAx>
      <c:spPr>
        <a:solidFill>
          <a:srgbClr val="CDCDCD"/>
        </a:solidFill>
        <a:ln w="12700">
          <a:solidFill>
            <a:srgbClr val="808080"/>
          </a:solidFill>
        </a:ln>
      </c:spPr>
    </c:plotArea>
    <c:plotVisOnly val="1"/>
    <c:dispBlanksAs val="gap"/>
    <c:showDLblsOverMax val="0"/>
  </c:chart>
  <c:txPr>
    <a:bodyPr vert="horz" rot="0"/>
    <a:lstStyle/>
    <a:p>
      <a:pPr>
        <a:defRPr lang="en-US" cap="none" sz="85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74</xdr:row>
      <xdr:rowOff>38100</xdr:rowOff>
    </xdr:from>
    <xdr:to>
      <xdr:col>7</xdr:col>
      <xdr:colOff>371475</xdr:colOff>
      <xdr:row>96</xdr:row>
      <xdr:rowOff>142875</xdr:rowOff>
    </xdr:to>
    <xdr:graphicFrame>
      <xdr:nvGraphicFramePr>
        <xdr:cNvPr id="1" name="Chart 1"/>
        <xdr:cNvGraphicFramePr/>
      </xdr:nvGraphicFramePr>
      <xdr:xfrm>
        <a:off x="3981450" y="16716375"/>
        <a:ext cx="437197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TheMath.xl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en.wikipedia.org/wiki/Agriculture" TargetMode="External" /><Relationship Id="rId2" Type="http://schemas.openxmlformats.org/officeDocument/2006/relationships/hyperlink" Target="http://en.wikipedia.org/wiki/Agriculture_in_the_United_States" TargetMode="External" /><Relationship Id="rId3" Type="http://schemas.openxmlformats.org/officeDocument/2006/relationships/hyperlink" Target="http://en.wikipedia.org/wiki/Economy_of_the_United_States" TargetMode="External" /><Relationship Id="rId4" Type="http://schemas.openxmlformats.org/officeDocument/2006/relationships/hyperlink" Target="http://www.ers.usda.gov/AmberWaves/April06/Features/Ethanol.htm" TargetMode="External" /><Relationship Id="rId5" Type="http://schemas.openxmlformats.org/officeDocument/2006/relationships/hyperlink" Target="http://www.faorap-apcas.org/srilanka/index.htm" TargetMode="External" /><Relationship Id="rId6" Type="http://schemas.openxmlformats.org/officeDocument/2006/relationships/hyperlink" Target="http://www.ers.usda.gov/statefacts/CA.HTM" TargetMode="External" /><Relationship Id="rId7" Type="http://schemas.openxmlformats.org/officeDocument/2006/relationships/hyperlink" Target="http://news.mongabay.com/2005/1115-forests.html" TargetMode="External" /><Relationship Id="rId8" Type="http://schemas.openxmlformats.org/officeDocument/2006/relationships/hyperlink" Target="forestinformation.html" TargetMode="External" /><Relationship Id="rId9" Type="http://schemas.openxmlformats.org/officeDocument/2006/relationships/hyperlink" Target="http://globalforestwatch.org/english/index.htm" TargetMode="External" /><Relationship Id="rId1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ae.edu/nae/bridgecom.nsf/weblinks/MKUF-5NTMX9?OpenDocument"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B2:D16"/>
  <sheetViews>
    <sheetView tabSelected="1" workbookViewId="0" topLeftCell="A1">
      <selection activeCell="C3" sqref="C3"/>
    </sheetView>
  </sheetViews>
  <sheetFormatPr defaultColWidth="9.00390625" defaultRowHeight="12.75"/>
  <cols>
    <col min="1" max="1" width="2.375" style="1" customWidth="1"/>
    <col min="2" max="2" width="6.25390625" style="1" customWidth="1"/>
    <col min="3" max="3" width="24.125" style="1" customWidth="1"/>
    <col min="4" max="4" width="61.00390625" style="3" customWidth="1"/>
    <col min="5" max="16384" width="10.75390625" style="1" customWidth="1"/>
  </cols>
  <sheetData>
    <row r="1" ht="7.5" customHeight="1"/>
    <row r="2" spans="2:4" ht="15">
      <c r="B2" s="4"/>
      <c r="C2" s="5"/>
      <c r="D2" s="6"/>
    </row>
    <row r="3" spans="2:4" ht="23.25">
      <c r="B3" s="7"/>
      <c r="C3" s="8" t="s">
        <v>0</v>
      </c>
      <c r="D3" s="9"/>
    </row>
    <row r="4" spans="2:4" ht="15">
      <c r="B4" s="7"/>
      <c r="D4" s="9"/>
    </row>
    <row r="5" spans="2:4" ht="63" customHeight="1">
      <c r="B5" s="7"/>
      <c r="C5" s="262" t="s">
        <v>1</v>
      </c>
      <c r="D5" s="263"/>
    </row>
    <row r="6" spans="2:4" ht="15">
      <c r="B6" s="7"/>
      <c r="D6" s="9"/>
    </row>
    <row r="7" spans="2:4" ht="15.75">
      <c r="B7" s="7"/>
      <c r="C7" s="10" t="s">
        <v>2</v>
      </c>
      <c r="D7" s="11" t="s">
        <v>3</v>
      </c>
    </row>
    <row r="8" spans="2:4" ht="15">
      <c r="B8" s="7"/>
      <c r="C8" s="12" t="s">
        <v>4</v>
      </c>
      <c r="D8" s="13" t="s">
        <v>5</v>
      </c>
    </row>
    <row r="9" spans="2:4" ht="30">
      <c r="B9" s="7"/>
      <c r="C9" s="2" t="s">
        <v>6</v>
      </c>
      <c r="D9" s="9" t="s">
        <v>7</v>
      </c>
    </row>
    <row r="10" spans="2:4" ht="30">
      <c r="B10" s="7"/>
      <c r="C10" s="2" t="s">
        <v>8</v>
      </c>
      <c r="D10" s="9" t="s">
        <v>9</v>
      </c>
    </row>
    <row r="11" spans="2:4" ht="15" customHeight="1">
      <c r="B11" s="7"/>
      <c r="C11" s="2" t="s">
        <v>10</v>
      </c>
      <c r="D11" s="9" t="s">
        <v>11</v>
      </c>
    </row>
    <row r="12" spans="2:4" ht="30">
      <c r="B12" s="7"/>
      <c r="C12" s="2" t="s">
        <v>12</v>
      </c>
      <c r="D12" s="9" t="s">
        <v>13</v>
      </c>
    </row>
    <row r="13" spans="2:4" ht="30">
      <c r="B13" s="7"/>
      <c r="C13" s="2" t="s">
        <v>14</v>
      </c>
      <c r="D13" s="9" t="s">
        <v>15</v>
      </c>
    </row>
    <row r="14" spans="2:4" ht="15">
      <c r="B14" s="7"/>
      <c r="C14" s="2"/>
      <c r="D14" s="9"/>
    </row>
    <row r="15" spans="2:4" ht="15">
      <c r="B15" s="7"/>
      <c r="C15" s="261" t="s">
        <v>575</v>
      </c>
      <c r="D15" s="9" t="s">
        <v>576</v>
      </c>
    </row>
    <row r="16" spans="2:4" ht="15">
      <c r="B16" s="14"/>
      <c r="C16" s="15"/>
      <c r="D16" s="16"/>
    </row>
  </sheetData>
  <mergeCells count="1">
    <mergeCell ref="C5:D5"/>
  </mergeCells>
  <hyperlinks>
    <hyperlink ref="C15" r:id="rId1" display="DoTheMath.xls"/>
  </hyperlink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tabColor indexed="43"/>
    <pageSetUpPr fitToPage="1"/>
  </sheetPr>
  <dimension ref="B2:K285"/>
  <sheetViews>
    <sheetView workbookViewId="0" topLeftCell="A1">
      <selection activeCell="C3" sqref="C3"/>
    </sheetView>
  </sheetViews>
  <sheetFormatPr defaultColWidth="9.00390625" defaultRowHeight="12.75"/>
  <cols>
    <col min="1" max="1" width="2.00390625" style="18" customWidth="1"/>
    <col min="2" max="2" width="24.875" style="18" customWidth="1"/>
    <col min="3" max="3" width="17.25390625" style="18" customWidth="1"/>
    <col min="4" max="4" width="15.875" style="18" customWidth="1"/>
    <col min="5" max="5" width="16.00390625" style="18" customWidth="1"/>
    <col min="6" max="6" width="20.125" style="18" customWidth="1"/>
    <col min="7" max="8" width="12.75390625" style="18" customWidth="1"/>
    <col min="9" max="9" width="18.375" style="18" customWidth="1"/>
    <col min="10" max="10" width="12.125" style="18" customWidth="1"/>
    <col min="11" max="11" width="13.50390625" style="18" customWidth="1"/>
    <col min="12" max="16384" width="10.75390625" style="18" customWidth="1"/>
  </cols>
  <sheetData>
    <row r="1" ht="7.5" customHeight="1"/>
    <row r="2" spans="2:9" ht="15">
      <c r="B2" s="20"/>
      <c r="C2" s="21"/>
      <c r="D2" s="21"/>
      <c r="E2" s="21"/>
      <c r="F2" s="21"/>
      <c r="G2" s="21"/>
      <c r="H2" s="21"/>
      <c r="I2" s="22"/>
    </row>
    <row r="3" spans="2:11" ht="18">
      <c r="B3" s="23"/>
      <c r="C3" s="26" t="s">
        <v>16</v>
      </c>
      <c r="D3" s="26"/>
      <c r="E3" s="24"/>
      <c r="F3" s="24"/>
      <c r="G3" s="24"/>
      <c r="H3" s="24"/>
      <c r="I3" s="27"/>
      <c r="J3" s="266" t="s">
        <v>14</v>
      </c>
      <c r="K3" s="267"/>
    </row>
    <row r="4" spans="2:11" ht="18">
      <c r="B4" s="23"/>
      <c r="C4" s="31"/>
      <c r="D4" s="24"/>
      <c r="E4" s="24"/>
      <c r="F4" s="24"/>
      <c r="G4" s="24"/>
      <c r="H4" s="24"/>
      <c r="I4" s="27"/>
      <c r="J4" s="28"/>
      <c r="K4" s="28"/>
    </row>
    <row r="5" spans="2:11" ht="15">
      <c r="B5" s="23"/>
      <c r="C5" s="24" t="s">
        <v>17</v>
      </c>
      <c r="D5" s="24"/>
      <c r="E5" s="24"/>
      <c r="F5" s="24"/>
      <c r="G5" s="24"/>
      <c r="H5" s="24"/>
      <c r="I5" s="27"/>
      <c r="J5" s="28"/>
      <c r="K5" s="28"/>
    </row>
    <row r="6" spans="2:11" ht="15">
      <c r="B6" s="23"/>
      <c r="C6" s="24"/>
      <c r="D6" s="24"/>
      <c r="E6" s="24"/>
      <c r="F6" s="24"/>
      <c r="G6" s="24"/>
      <c r="H6" s="24"/>
      <c r="I6" s="27"/>
      <c r="J6" s="32">
        <v>1.609345459151437</v>
      </c>
      <c r="K6" s="18" t="s">
        <v>18</v>
      </c>
    </row>
    <row r="7" spans="2:11" ht="15.75">
      <c r="B7" s="33" t="s">
        <v>19</v>
      </c>
      <c r="C7" s="268" t="s">
        <v>20</v>
      </c>
      <c r="D7" s="269"/>
      <c r="E7" s="270" t="s">
        <v>21</v>
      </c>
      <c r="F7" s="269"/>
      <c r="G7" s="35" t="s">
        <v>22</v>
      </c>
      <c r="H7" s="34" t="s">
        <v>23</v>
      </c>
      <c r="I7" s="36"/>
      <c r="J7" s="19">
        <f>+J6^2</f>
        <v>2.5899928068913494</v>
      </c>
      <c r="K7" s="18" t="s">
        <v>24</v>
      </c>
    </row>
    <row r="8" spans="2:11" ht="15">
      <c r="B8" s="23"/>
      <c r="C8" s="18">
        <v>7918</v>
      </c>
      <c r="D8" s="18" t="s">
        <v>25</v>
      </c>
      <c r="E8" s="18">
        <f>+C8*J6</f>
        <v>12742.797345561077</v>
      </c>
      <c r="F8" s="18" t="s">
        <v>26</v>
      </c>
      <c r="H8" s="24" t="s">
        <v>27</v>
      </c>
      <c r="I8" s="37"/>
      <c r="J8" s="18">
        <v>100</v>
      </c>
      <c r="K8" s="18" t="s">
        <v>28</v>
      </c>
    </row>
    <row r="9" spans="2:11" ht="15">
      <c r="B9" s="23"/>
      <c r="C9" s="38">
        <f>(C8/2)^2*3.14159</f>
        <v>49240279.49279</v>
      </c>
      <c r="D9" s="18" t="s">
        <v>29</v>
      </c>
      <c r="E9" s="38">
        <f>(E8/2)^2*3.14159</f>
        <v>127531969.69564572</v>
      </c>
      <c r="F9" s="18" t="s">
        <v>30</v>
      </c>
      <c r="H9" s="24" t="s">
        <v>31</v>
      </c>
      <c r="I9" s="37"/>
      <c r="J9" s="18">
        <v>640</v>
      </c>
      <c r="K9" s="18" t="s">
        <v>32</v>
      </c>
    </row>
    <row r="10" spans="2:11" ht="15">
      <c r="B10" s="23"/>
      <c r="C10" s="38"/>
      <c r="E10" s="38"/>
      <c r="F10" s="24"/>
      <c r="G10" s="24"/>
      <c r="H10" s="24"/>
      <c r="I10" s="27"/>
      <c r="J10" s="19">
        <f>+J7*J8/J9</f>
        <v>0.4046863760767733</v>
      </c>
      <c r="K10" s="18" t="s">
        <v>33</v>
      </c>
    </row>
    <row r="11" spans="2:11" ht="15">
      <c r="B11" s="23"/>
      <c r="C11" s="18">
        <f>+C9*4</f>
        <v>196961117.97116</v>
      </c>
      <c r="D11" s="18" t="s">
        <v>29</v>
      </c>
      <c r="E11" s="18">
        <f>+E9*4</f>
        <v>510127878.7825829</v>
      </c>
      <c r="F11" s="18" t="s">
        <v>30</v>
      </c>
      <c r="H11" s="24" t="s">
        <v>34</v>
      </c>
      <c r="I11" s="37"/>
      <c r="J11" s="24"/>
      <c r="K11" s="24"/>
    </row>
    <row r="12" spans="2:11" ht="15">
      <c r="B12" s="23"/>
      <c r="C12" s="24"/>
      <c r="D12" s="24"/>
      <c r="E12" s="24"/>
      <c r="F12" s="24"/>
      <c r="G12" s="24"/>
      <c r="H12" s="24"/>
      <c r="I12" s="27"/>
      <c r="J12" s="24"/>
      <c r="K12" s="24"/>
    </row>
    <row r="13" spans="2:11" ht="15">
      <c r="B13" s="23"/>
      <c r="C13" s="18">
        <f>+C11-C14</f>
        <v>137872782.579812</v>
      </c>
      <c r="D13" s="18" t="s">
        <v>29</v>
      </c>
      <c r="E13" s="18">
        <f>+E11-E14</f>
        <v>379127878.7825829</v>
      </c>
      <c r="F13" s="18" t="s">
        <v>30</v>
      </c>
      <c r="G13" s="39">
        <f>+E13/E$11</f>
        <v>0.7432016452176056</v>
      </c>
      <c r="H13" s="24" t="s">
        <v>35</v>
      </c>
      <c r="I13" s="37"/>
      <c r="J13" s="24"/>
      <c r="K13" s="24"/>
    </row>
    <row r="14" spans="2:11" ht="15">
      <c r="B14" s="23"/>
      <c r="C14" s="18">
        <f>+C11*0.3</f>
        <v>59088335.391348</v>
      </c>
      <c r="D14" s="18" t="s">
        <v>29</v>
      </c>
      <c r="E14" s="18">
        <f>13.1*10^9/100</f>
        <v>131000000</v>
      </c>
      <c r="F14" s="18" t="s">
        <v>30</v>
      </c>
      <c r="G14" s="39">
        <f>+E14/E$11</f>
        <v>0.2567983547823944</v>
      </c>
      <c r="H14" s="24" t="s">
        <v>36</v>
      </c>
      <c r="I14" s="37"/>
      <c r="J14" s="24"/>
      <c r="K14" s="24"/>
    </row>
    <row r="15" spans="2:11" ht="15">
      <c r="B15" s="23"/>
      <c r="C15" s="18">
        <f>+E15/J6</f>
        <v>24233454.52539669</v>
      </c>
      <c r="D15" s="18" t="s">
        <v>29</v>
      </c>
      <c r="E15" s="18">
        <f>3.9*10^9/100</f>
        <v>39000000</v>
      </c>
      <c r="F15" s="18" t="s">
        <v>30</v>
      </c>
      <c r="G15" s="39">
        <f>+E15/E$11</f>
        <v>0.0764514185993388</v>
      </c>
      <c r="H15" s="24" t="s">
        <v>37</v>
      </c>
      <c r="I15" s="37"/>
      <c r="J15" s="24"/>
      <c r="K15" s="24"/>
    </row>
    <row r="16" spans="2:11" ht="15">
      <c r="B16" s="23"/>
      <c r="C16" s="24"/>
      <c r="D16" s="24"/>
      <c r="E16" s="24"/>
      <c r="F16" s="24"/>
      <c r="G16" s="39">
        <f>+E15/E14</f>
        <v>0.29770992366412213</v>
      </c>
      <c r="H16" s="24" t="s">
        <v>38</v>
      </c>
      <c r="I16" s="37"/>
      <c r="J16" s="24"/>
      <c r="K16" s="24"/>
    </row>
    <row r="17" spans="2:11" ht="15">
      <c r="B17" s="23"/>
      <c r="C17" s="24"/>
      <c r="D17" s="24"/>
      <c r="E17" s="24"/>
      <c r="F17" s="24"/>
      <c r="G17" s="40" t="s">
        <v>39</v>
      </c>
      <c r="H17" s="24" t="s">
        <v>40</v>
      </c>
      <c r="I17" s="37"/>
      <c r="J17" s="24"/>
      <c r="K17" s="24"/>
    </row>
    <row r="18" spans="2:11" ht="15">
      <c r="B18" s="23"/>
      <c r="C18" s="38"/>
      <c r="D18" s="24"/>
      <c r="E18" s="24"/>
      <c r="F18" s="24"/>
      <c r="G18" s="24"/>
      <c r="H18" s="24"/>
      <c r="I18" s="27"/>
      <c r="J18" s="24"/>
      <c r="K18" s="24"/>
    </row>
    <row r="19" spans="2:11" ht="18">
      <c r="B19" s="23"/>
      <c r="C19" s="31" t="s">
        <v>41</v>
      </c>
      <c r="D19" s="24"/>
      <c r="E19" s="24"/>
      <c r="F19" s="41"/>
      <c r="G19" s="24"/>
      <c r="H19" s="24"/>
      <c r="I19" s="27"/>
      <c r="J19" s="24"/>
      <c r="K19" s="24"/>
    </row>
    <row r="20" spans="2:11" ht="15">
      <c r="B20" s="23"/>
      <c r="C20" s="24"/>
      <c r="D20" s="24"/>
      <c r="E20" s="24"/>
      <c r="F20" s="24"/>
      <c r="G20" s="24"/>
      <c r="H20" s="24"/>
      <c r="I20" s="27"/>
      <c r="J20" s="24"/>
      <c r="K20" s="24"/>
    </row>
    <row r="21" spans="2:11" ht="15">
      <c r="B21" s="23"/>
      <c r="C21" s="18">
        <v>3717813</v>
      </c>
      <c r="D21" s="18" t="s">
        <v>29</v>
      </c>
      <c r="E21" s="18">
        <v>9629091</v>
      </c>
      <c r="F21" s="18" t="s">
        <v>30</v>
      </c>
      <c r="G21" s="39">
        <f>+E21/E$21</f>
        <v>1</v>
      </c>
      <c r="H21" s="24" t="s">
        <v>42</v>
      </c>
      <c r="I21" s="37"/>
      <c r="J21" s="24"/>
      <c r="K21" s="24"/>
    </row>
    <row r="22" spans="2:11" ht="15">
      <c r="B22" s="23"/>
      <c r="C22" s="24"/>
      <c r="D22" s="24"/>
      <c r="E22" s="24"/>
      <c r="F22" s="24"/>
      <c r="G22" s="24"/>
      <c r="H22" s="24"/>
      <c r="I22" s="27"/>
      <c r="J22" s="24"/>
      <c r="K22" s="24"/>
    </row>
    <row r="23" spans="2:11" ht="15">
      <c r="B23" s="23"/>
      <c r="C23" s="18">
        <v>181519</v>
      </c>
      <c r="E23" s="18">
        <v>470131</v>
      </c>
      <c r="G23" s="39">
        <f>+E23/E$21</f>
        <v>0.048824027107023917</v>
      </c>
      <c r="H23" s="24" t="s">
        <v>43</v>
      </c>
      <c r="I23" s="37"/>
      <c r="J23" s="24"/>
      <c r="K23" s="24"/>
    </row>
    <row r="24" spans="2:11" ht="15">
      <c r="B24" s="23"/>
      <c r="C24" s="18">
        <v>3536294</v>
      </c>
      <c r="E24" s="18">
        <v>9158960</v>
      </c>
      <c r="G24" s="39">
        <f>+E24/E$21</f>
        <v>0.9511759728929761</v>
      </c>
      <c r="H24" s="24" t="s">
        <v>44</v>
      </c>
      <c r="I24" s="37"/>
      <c r="J24" s="24"/>
      <c r="K24" s="24"/>
    </row>
    <row r="25" spans="2:11" ht="15">
      <c r="B25" s="23"/>
      <c r="C25" s="24"/>
      <c r="D25" s="24"/>
      <c r="E25" s="18">
        <f>+D166/100</f>
        <v>1768270</v>
      </c>
      <c r="G25" s="39">
        <f>+E25/E$21</f>
        <v>0.18363831019978938</v>
      </c>
      <c r="H25" s="24" t="s">
        <v>45</v>
      </c>
      <c r="I25" s="37"/>
      <c r="J25" s="24"/>
      <c r="K25" s="24"/>
    </row>
    <row r="26" spans="2:11" ht="15">
      <c r="B26" s="23"/>
      <c r="C26" s="24"/>
      <c r="D26" s="24"/>
      <c r="E26" s="18">
        <f>301*10^6/100</f>
        <v>3010000</v>
      </c>
      <c r="G26" s="39">
        <f>+E26/E$21</f>
        <v>0.31259440792490173</v>
      </c>
      <c r="H26" s="24" t="s">
        <v>46</v>
      </c>
      <c r="I26" s="37"/>
      <c r="J26" s="24"/>
      <c r="K26" s="24"/>
    </row>
    <row r="27" spans="2:11" ht="15">
      <c r="B27" s="23"/>
      <c r="C27" s="24"/>
      <c r="D27" s="24"/>
      <c r="E27" s="18">
        <f>198*10^6/100</f>
        <v>1980000</v>
      </c>
      <c r="G27" s="39">
        <f>+E27/E$21</f>
        <v>0.2056268862761812</v>
      </c>
      <c r="H27" s="24" t="s">
        <v>47</v>
      </c>
      <c r="I27" s="37"/>
      <c r="J27" s="24"/>
      <c r="K27" s="24"/>
    </row>
    <row r="28" spans="2:11" ht="15">
      <c r="B28" s="23"/>
      <c r="C28" s="24"/>
      <c r="D28" s="24"/>
      <c r="E28" s="24"/>
      <c r="F28" s="24"/>
      <c r="G28" s="24"/>
      <c r="H28" s="24" t="s">
        <v>48</v>
      </c>
      <c r="I28" s="37"/>
      <c r="J28" s="24"/>
      <c r="K28" s="24"/>
    </row>
    <row r="29" spans="2:11" ht="15">
      <c r="B29" s="23"/>
      <c r="C29" s="24"/>
      <c r="D29" s="24"/>
      <c r="E29" s="18">
        <v>207000</v>
      </c>
      <c r="G29" s="39">
        <f>+E29/E$21</f>
        <v>0.021497356292509855</v>
      </c>
      <c r="H29" s="24" t="s">
        <v>49</v>
      </c>
      <c r="I29" s="37"/>
      <c r="J29" s="24"/>
      <c r="K29" s="24"/>
    </row>
    <row r="30" spans="2:11" ht="15">
      <c r="B30" s="23"/>
      <c r="C30" s="24"/>
      <c r="D30" s="24"/>
      <c r="E30" s="24"/>
      <c r="F30" s="24"/>
      <c r="G30" s="41"/>
      <c r="I30" s="27"/>
      <c r="J30" s="24"/>
      <c r="K30" s="24"/>
    </row>
    <row r="31" spans="2:11" ht="15">
      <c r="B31" s="23"/>
      <c r="C31" s="24" t="s">
        <v>50</v>
      </c>
      <c r="D31" s="24"/>
      <c r="E31" s="24"/>
      <c r="F31" s="24"/>
      <c r="G31" s="24"/>
      <c r="H31" s="24"/>
      <c r="I31" s="37"/>
      <c r="J31" s="24"/>
      <c r="K31" s="24"/>
    </row>
    <row r="32" spans="2:11" ht="15">
      <c r="B32" s="23"/>
      <c r="C32" s="24"/>
      <c r="D32" s="24"/>
      <c r="E32" s="24"/>
      <c r="F32" s="24"/>
      <c r="G32" s="24"/>
      <c r="H32" s="24"/>
      <c r="I32" s="27"/>
      <c r="J32" s="24"/>
      <c r="K32" s="24"/>
    </row>
    <row r="33" spans="2:11" ht="15.75">
      <c r="B33" s="23"/>
      <c r="C33" s="42" t="s">
        <v>51</v>
      </c>
      <c r="D33" s="24"/>
      <c r="E33" s="24"/>
      <c r="F33" s="24"/>
      <c r="G33" s="41"/>
      <c r="I33" s="27"/>
      <c r="J33" s="24"/>
      <c r="K33" s="24"/>
    </row>
    <row r="34" spans="2:11" ht="15">
      <c r="B34" s="23"/>
      <c r="C34" s="24"/>
      <c r="D34" s="24"/>
      <c r="E34" s="24"/>
      <c r="F34" s="24"/>
      <c r="G34" s="24"/>
      <c r="H34" s="24"/>
      <c r="I34" s="27"/>
      <c r="J34" s="24"/>
      <c r="K34" s="24"/>
    </row>
    <row r="35" spans="2:11" ht="15">
      <c r="B35" s="23"/>
      <c r="C35" s="18">
        <v>113998</v>
      </c>
      <c r="E35" s="18">
        <v>295254</v>
      </c>
      <c r="F35" s="18" t="s">
        <v>30</v>
      </c>
      <c r="G35" s="24"/>
      <c r="H35" s="24"/>
      <c r="I35" s="27"/>
      <c r="J35" s="24"/>
      <c r="K35" s="24"/>
    </row>
    <row r="36" spans="2:11" ht="15">
      <c r="B36" s="23"/>
      <c r="C36" s="24"/>
      <c r="D36" s="24"/>
      <c r="E36" s="24"/>
      <c r="F36" s="24"/>
      <c r="G36" s="24"/>
      <c r="H36" s="24"/>
      <c r="I36" s="27"/>
      <c r="J36" s="24"/>
      <c r="K36" s="24"/>
    </row>
    <row r="37" spans="2:11" ht="15">
      <c r="B37" s="23"/>
      <c r="C37" s="24"/>
      <c r="D37" s="24"/>
      <c r="E37" s="24"/>
      <c r="F37" s="24"/>
      <c r="G37" s="24"/>
      <c r="H37" s="24"/>
      <c r="I37" s="27"/>
      <c r="J37" s="24"/>
      <c r="K37" s="24"/>
    </row>
    <row r="38" spans="2:11" ht="15.75">
      <c r="B38" s="23"/>
      <c r="C38" s="42" t="s">
        <v>52</v>
      </c>
      <c r="D38" s="24"/>
      <c r="E38" s="24"/>
      <c r="F38" s="24"/>
      <c r="G38" s="24"/>
      <c r="H38" s="24"/>
      <c r="I38" s="27"/>
      <c r="J38" s="24"/>
      <c r="K38" s="24"/>
    </row>
    <row r="39" spans="2:11" ht="15">
      <c r="B39" s="23">
        <v>37172015</v>
      </c>
      <c r="C39" s="24"/>
      <c r="D39" s="24"/>
      <c r="E39" s="24"/>
      <c r="F39" s="24"/>
      <c r="G39" s="39">
        <v>0.12</v>
      </c>
      <c r="H39" s="24" t="s">
        <v>53</v>
      </c>
      <c r="I39" s="37"/>
      <c r="J39" s="24"/>
      <c r="K39" s="24"/>
    </row>
    <row r="40" spans="2:11" ht="15">
      <c r="B40" s="23"/>
      <c r="C40" s="18">
        <v>158302</v>
      </c>
      <c r="E40" s="18">
        <v>410000</v>
      </c>
      <c r="F40" s="18" t="s">
        <v>30</v>
      </c>
      <c r="H40" s="24" t="s">
        <v>54</v>
      </c>
      <c r="I40" s="37"/>
      <c r="J40" s="24"/>
      <c r="K40" s="24"/>
    </row>
    <row r="41" spans="2:11" ht="15">
      <c r="B41" s="23"/>
      <c r="C41" s="24"/>
      <c r="D41" s="24"/>
      <c r="E41" s="18">
        <f>+E40*G41</f>
        <v>19270</v>
      </c>
      <c r="F41" s="18" t="s">
        <v>30</v>
      </c>
      <c r="G41" s="43">
        <v>0.047</v>
      </c>
      <c r="H41" s="24" t="s">
        <v>55</v>
      </c>
      <c r="I41" s="37"/>
      <c r="J41" s="24"/>
      <c r="K41" s="24"/>
    </row>
    <row r="42" spans="2:11" ht="15">
      <c r="B42" s="23"/>
      <c r="C42" s="24"/>
      <c r="D42" s="24"/>
      <c r="E42" s="24"/>
      <c r="F42" s="24"/>
      <c r="G42" s="24"/>
      <c r="H42" s="24"/>
      <c r="I42" s="27"/>
      <c r="J42" s="24"/>
      <c r="K42" s="24"/>
    </row>
    <row r="43" spans="2:11" ht="15">
      <c r="B43" s="23"/>
      <c r="C43" s="24"/>
      <c r="D43" s="24"/>
      <c r="E43" s="24"/>
      <c r="F43" s="24"/>
      <c r="G43" s="43">
        <f>+E40/E24</f>
        <v>0.04476490780612646</v>
      </c>
      <c r="H43" s="18" t="s">
        <v>56</v>
      </c>
      <c r="I43" s="27"/>
      <c r="J43" s="24"/>
      <c r="K43" s="24"/>
    </row>
    <row r="44" spans="2:11" ht="15">
      <c r="B44" s="44"/>
      <c r="C44" s="30"/>
      <c r="D44" s="30"/>
      <c r="E44" s="30"/>
      <c r="F44" s="30"/>
      <c r="G44" s="30"/>
      <c r="H44" s="30"/>
      <c r="I44" s="36"/>
      <c r="J44" s="24"/>
      <c r="K44" s="24"/>
    </row>
    <row r="45" spans="3:11" ht="15.75">
      <c r="C45" s="42"/>
      <c r="D45" s="24"/>
      <c r="E45" s="24"/>
      <c r="F45" s="24"/>
      <c r="G45" s="24"/>
      <c r="H45" s="24"/>
      <c r="I45" s="24"/>
      <c r="J45" s="24"/>
      <c r="K45" s="24"/>
    </row>
    <row r="46" spans="3:11" ht="15.75">
      <c r="C46" s="42" t="s">
        <v>57</v>
      </c>
      <c r="D46" s="24"/>
      <c r="E46" s="24"/>
      <c r="F46" s="24"/>
      <c r="G46" s="24"/>
      <c r="H46" s="24"/>
      <c r="I46" s="24"/>
      <c r="J46" s="24"/>
      <c r="K46" s="24"/>
    </row>
    <row r="47" spans="2:11" ht="15">
      <c r="B47" s="24"/>
      <c r="C47" s="24"/>
      <c r="D47" s="24"/>
      <c r="E47" s="24"/>
      <c r="F47" s="24"/>
      <c r="G47" s="24"/>
      <c r="H47" s="24"/>
      <c r="I47" s="24"/>
      <c r="J47" s="24"/>
      <c r="K47" s="24"/>
    </row>
    <row r="48" spans="3:11" ht="15">
      <c r="C48" s="45" t="s">
        <v>58</v>
      </c>
      <c r="D48" s="45"/>
      <c r="E48" s="45"/>
      <c r="F48" s="24"/>
      <c r="G48" s="24"/>
      <c r="H48" s="24"/>
      <c r="I48" s="24"/>
      <c r="J48" s="24"/>
      <c r="K48" s="24"/>
    </row>
    <row r="49" spans="2:11" ht="15">
      <c r="B49" s="24"/>
      <c r="C49" s="24"/>
      <c r="D49" s="24"/>
      <c r="E49" s="24"/>
      <c r="F49" s="24"/>
      <c r="G49" s="24"/>
      <c r="H49" s="24"/>
      <c r="I49" s="24"/>
      <c r="J49" s="24"/>
      <c r="K49" s="24"/>
    </row>
    <row r="50" spans="3:11" ht="15">
      <c r="C50" s="24" t="s">
        <v>59</v>
      </c>
      <c r="D50" s="24"/>
      <c r="E50" s="24"/>
      <c r="F50" s="24"/>
      <c r="G50" s="24"/>
      <c r="H50" s="24"/>
      <c r="I50" s="24"/>
      <c r="J50" s="24"/>
      <c r="K50" s="24"/>
    </row>
    <row r="51" spans="2:11" ht="15">
      <c r="B51" s="24"/>
      <c r="C51" s="24"/>
      <c r="D51" s="24" t="s">
        <v>60</v>
      </c>
      <c r="E51" s="24"/>
      <c r="F51" s="24"/>
      <c r="G51" s="24"/>
      <c r="H51" s="24"/>
      <c r="I51" s="24"/>
      <c r="J51" s="24"/>
      <c r="K51" s="24"/>
    </row>
    <row r="52" spans="3:11" ht="15">
      <c r="C52" s="18" t="s">
        <v>61</v>
      </c>
      <c r="D52" s="18">
        <v>2264</v>
      </c>
      <c r="E52" s="24"/>
      <c r="F52" s="24"/>
      <c r="G52" s="24"/>
      <c r="H52" s="24"/>
      <c r="I52" s="24"/>
      <c r="J52" s="24"/>
      <c r="K52" s="24"/>
    </row>
    <row r="53" spans="3:11" ht="15">
      <c r="C53" s="18" t="s">
        <v>62</v>
      </c>
      <c r="D53" s="18">
        <v>866</v>
      </c>
      <c r="E53" s="24"/>
      <c r="F53" s="24"/>
      <c r="G53" s="24"/>
      <c r="H53" s="24"/>
      <c r="I53" s="24"/>
      <c r="J53" s="24"/>
      <c r="K53" s="24"/>
    </row>
    <row r="54" spans="3:11" ht="15">
      <c r="C54" s="18" t="s">
        <v>63</v>
      </c>
      <c r="D54" s="18">
        <v>715</v>
      </c>
      <c r="E54" s="24"/>
      <c r="F54" s="24"/>
      <c r="G54" s="24"/>
      <c r="H54" s="24"/>
      <c r="I54" s="24"/>
      <c r="J54" s="24"/>
      <c r="K54" s="24"/>
    </row>
    <row r="55" spans="3:11" ht="15">
      <c r="C55" s="18" t="s">
        <v>64</v>
      </c>
      <c r="D55" s="18">
        <v>619</v>
      </c>
      <c r="E55" s="24"/>
      <c r="F55" s="24"/>
      <c r="G55" s="24"/>
      <c r="H55" s="24"/>
      <c r="I55" s="24"/>
      <c r="J55" s="24"/>
      <c r="K55" s="24"/>
    </row>
    <row r="56" spans="3:11" ht="15">
      <c r="C56" s="18" t="s">
        <v>65</v>
      </c>
      <c r="D56" s="18">
        <v>503</v>
      </c>
      <c r="E56" s="24"/>
      <c r="F56" s="24"/>
      <c r="G56" s="24"/>
      <c r="H56" s="24"/>
      <c r="I56" s="24"/>
      <c r="J56" s="24"/>
      <c r="K56" s="24"/>
    </row>
    <row r="57" spans="3:11" ht="15">
      <c r="C57" s="18" t="s">
        <v>66</v>
      </c>
      <c r="D57" s="18">
        <v>259</v>
      </c>
      <c r="E57" s="24"/>
      <c r="F57" s="24"/>
      <c r="G57" s="24"/>
      <c r="H57" s="24"/>
      <c r="I57" s="24"/>
      <c r="J57" s="24"/>
      <c r="K57" s="24"/>
    </row>
    <row r="58" spans="3:11" ht="15">
      <c r="C58" s="18" t="s">
        <v>67</v>
      </c>
      <c r="D58" s="18">
        <v>133</v>
      </c>
      <c r="E58" s="24"/>
      <c r="F58" s="24"/>
      <c r="G58" s="24"/>
      <c r="H58" s="24"/>
      <c r="I58" s="24"/>
      <c r="J58" s="24"/>
      <c r="K58" s="24"/>
    </row>
    <row r="59" spans="3:11" ht="15">
      <c r="C59" s="18" t="s">
        <v>68</v>
      </c>
      <c r="D59" s="18">
        <v>130</v>
      </c>
      <c r="E59" s="24"/>
      <c r="F59" s="24"/>
      <c r="G59" s="24"/>
      <c r="H59" s="24"/>
      <c r="I59" s="24"/>
      <c r="J59" s="24"/>
      <c r="K59" s="24"/>
    </row>
    <row r="60" spans="3:11" ht="15">
      <c r="C60" s="18" t="s">
        <v>69</v>
      </c>
      <c r="D60" s="18">
        <v>63</v>
      </c>
      <c r="E60" s="24"/>
      <c r="F60" s="24"/>
      <c r="G60" s="24"/>
      <c r="H60" s="24"/>
      <c r="I60" s="24"/>
      <c r="J60" s="24"/>
      <c r="K60" s="24"/>
    </row>
    <row r="61" spans="3:11" ht="15">
      <c r="C61" s="18" t="s">
        <v>70</v>
      </c>
      <c r="D61" s="18">
        <v>60</v>
      </c>
      <c r="E61" s="24"/>
      <c r="F61" s="24"/>
      <c r="G61" s="24"/>
      <c r="H61" s="24"/>
      <c r="I61" s="24"/>
      <c r="J61" s="24"/>
      <c r="K61" s="24"/>
    </row>
    <row r="62" spans="3:11" ht="15">
      <c r="C62" s="18" t="s">
        <v>71</v>
      </c>
      <c r="D62" s="18">
        <v>30</v>
      </c>
      <c r="E62" s="24"/>
      <c r="F62" s="24"/>
      <c r="G62" s="24"/>
      <c r="H62" s="24"/>
      <c r="I62" s="24"/>
      <c r="J62" s="24"/>
      <c r="K62" s="24"/>
    </row>
    <row r="63" spans="3:11" ht="15">
      <c r="C63" s="18" t="s">
        <v>72</v>
      </c>
      <c r="D63" s="24" t="s">
        <v>73</v>
      </c>
      <c r="E63" s="24"/>
      <c r="F63" s="24"/>
      <c r="G63" s="24"/>
      <c r="H63" s="24"/>
      <c r="I63" s="24"/>
      <c r="J63" s="24"/>
      <c r="K63" s="24"/>
    </row>
    <row r="64" spans="2:11" ht="15">
      <c r="B64" s="24"/>
      <c r="C64" s="24"/>
      <c r="D64" s="24"/>
      <c r="E64" s="24"/>
      <c r="F64" s="24"/>
      <c r="G64" s="24"/>
      <c r="H64" s="24"/>
      <c r="I64" s="24"/>
      <c r="J64" s="24"/>
      <c r="K64" s="24"/>
    </row>
    <row r="65" spans="2:11" ht="15">
      <c r="B65" s="24"/>
      <c r="C65" s="24"/>
      <c r="D65" s="24"/>
      <c r="E65" s="24"/>
      <c r="F65" s="24"/>
      <c r="G65" s="24"/>
      <c r="H65" s="24"/>
      <c r="I65" s="24"/>
      <c r="J65" s="24"/>
      <c r="K65" s="24"/>
    </row>
    <row r="66" spans="3:11" ht="15">
      <c r="C66" s="24" t="s">
        <v>74</v>
      </c>
      <c r="D66" s="24"/>
      <c r="E66" s="24"/>
      <c r="F66" s="24"/>
      <c r="G66" s="24"/>
      <c r="H66" s="24"/>
      <c r="I66" s="24"/>
      <c r="J66" s="24"/>
      <c r="K66" s="24"/>
    </row>
    <row r="67" spans="2:11" ht="15">
      <c r="B67" s="24"/>
      <c r="C67" s="24"/>
      <c r="D67" s="24" t="s">
        <v>60</v>
      </c>
      <c r="E67" s="24"/>
      <c r="F67" s="24"/>
      <c r="G67" s="24"/>
      <c r="H67" s="24"/>
      <c r="I67" s="24"/>
      <c r="J67" s="24"/>
      <c r="K67" s="24"/>
    </row>
    <row r="68" spans="3:11" ht="15">
      <c r="C68" s="18" t="s">
        <v>75</v>
      </c>
      <c r="D68" s="18">
        <v>1324</v>
      </c>
      <c r="E68" s="24"/>
      <c r="F68" s="24"/>
      <c r="G68" s="24"/>
      <c r="H68" s="24"/>
      <c r="I68" s="24"/>
      <c r="J68" s="24"/>
      <c r="K68" s="24"/>
    </row>
    <row r="69" spans="3:11" ht="15">
      <c r="C69" s="18" t="s">
        <v>76</v>
      </c>
      <c r="D69" s="18">
        <v>721</v>
      </c>
      <c r="E69" s="24"/>
      <c r="F69" s="24"/>
      <c r="G69" s="24"/>
      <c r="H69" s="24"/>
      <c r="I69" s="24"/>
      <c r="J69" s="24"/>
      <c r="K69" s="24"/>
    </row>
    <row r="70" spans="3:11" ht="15">
      <c r="C70" s="18" t="s">
        <v>77</v>
      </c>
      <c r="D70" s="18">
        <v>627</v>
      </c>
      <c r="E70" s="24"/>
      <c r="F70" s="24"/>
      <c r="G70" s="24"/>
      <c r="H70" s="24"/>
      <c r="I70" s="24"/>
      <c r="J70" s="24"/>
      <c r="K70" s="24"/>
    </row>
    <row r="71" spans="3:11" ht="15">
      <c r="C71" s="18" t="s">
        <v>78</v>
      </c>
      <c r="D71" s="18">
        <v>605</v>
      </c>
      <c r="E71" s="24"/>
      <c r="F71" s="24"/>
      <c r="G71" s="24"/>
      <c r="H71" s="24"/>
      <c r="I71" s="24"/>
      <c r="J71" s="24"/>
      <c r="K71" s="24"/>
    </row>
    <row r="72" spans="3:11" ht="15">
      <c r="C72" s="18" t="s">
        <v>79</v>
      </c>
      <c r="D72" s="18">
        <v>328</v>
      </c>
      <c r="E72" s="24"/>
      <c r="F72" s="24"/>
      <c r="G72" s="24"/>
      <c r="H72" s="24"/>
      <c r="I72" s="24"/>
      <c r="J72" s="24"/>
      <c r="K72" s="24"/>
    </row>
    <row r="73" spans="3:11" ht="15">
      <c r="C73" s="18" t="s">
        <v>80</v>
      </c>
      <c r="D73" s="18">
        <v>249</v>
      </c>
      <c r="E73" s="24"/>
      <c r="F73" s="24"/>
      <c r="G73" s="24"/>
      <c r="H73" s="24"/>
      <c r="I73" s="24"/>
      <c r="J73" s="24"/>
      <c r="K73" s="24"/>
    </row>
    <row r="74" spans="3:11" ht="15">
      <c r="C74" s="18" t="s">
        <v>81</v>
      </c>
      <c r="D74" s="18">
        <v>204</v>
      </c>
      <c r="E74" s="24"/>
      <c r="F74" s="24"/>
      <c r="G74" s="24"/>
      <c r="H74" s="24"/>
      <c r="I74" s="24"/>
      <c r="J74" s="24"/>
      <c r="K74" s="24"/>
    </row>
    <row r="75" spans="3:11" ht="15">
      <c r="C75" s="18" t="s">
        <v>82</v>
      </c>
      <c r="D75" s="18">
        <v>162</v>
      </c>
      <c r="E75" s="24"/>
      <c r="F75" s="24"/>
      <c r="G75" s="24"/>
      <c r="H75" s="24"/>
      <c r="I75" s="24"/>
      <c r="J75" s="24"/>
      <c r="K75" s="24"/>
    </row>
    <row r="76" spans="3:11" ht="15">
      <c r="C76" s="18" t="s">
        <v>83</v>
      </c>
      <c r="D76" s="18">
        <v>154</v>
      </c>
      <c r="E76" s="24"/>
      <c r="F76" s="24"/>
      <c r="G76" s="24"/>
      <c r="H76" s="24"/>
      <c r="I76" s="24"/>
      <c r="J76" s="24"/>
      <c r="K76" s="24"/>
    </row>
    <row r="77" spans="3:11" ht="15">
      <c r="C77" s="18" t="s">
        <v>84</v>
      </c>
      <c r="D77" s="18">
        <v>120</v>
      </c>
      <c r="E77" s="24"/>
      <c r="F77" s="24"/>
      <c r="G77" s="24"/>
      <c r="H77" s="24"/>
      <c r="I77" s="24"/>
      <c r="J77" s="24"/>
      <c r="K77" s="24"/>
    </row>
    <row r="78" spans="3:11" ht="15">
      <c r="C78" s="18" t="s">
        <v>72</v>
      </c>
      <c r="D78" s="24" t="s">
        <v>73</v>
      </c>
      <c r="E78" s="24"/>
      <c r="F78" s="24"/>
      <c r="G78" s="24"/>
      <c r="H78" s="24"/>
      <c r="I78" s="24"/>
      <c r="J78" s="24"/>
      <c r="K78" s="24"/>
    </row>
    <row r="79" spans="2:11" ht="15">
      <c r="B79" s="24"/>
      <c r="C79" s="24"/>
      <c r="D79" s="24"/>
      <c r="E79" s="24"/>
      <c r="F79" s="24"/>
      <c r="G79" s="24"/>
      <c r="H79" s="24"/>
      <c r="I79" s="24"/>
      <c r="J79" s="24"/>
      <c r="K79" s="24"/>
    </row>
    <row r="80" spans="2:11" ht="15">
      <c r="B80" s="24"/>
      <c r="C80" s="24"/>
      <c r="D80" s="24"/>
      <c r="E80" s="24"/>
      <c r="F80" s="24"/>
      <c r="G80" s="24"/>
      <c r="H80" s="24"/>
      <c r="I80" s="24"/>
      <c r="J80" s="24"/>
      <c r="K80" s="24"/>
    </row>
    <row r="81" spans="2:11" ht="15">
      <c r="B81" s="24"/>
      <c r="C81" s="24"/>
      <c r="D81" s="24"/>
      <c r="E81" s="24"/>
      <c r="F81" s="24"/>
      <c r="G81" s="24"/>
      <c r="H81" s="24"/>
      <c r="I81" s="24"/>
      <c r="J81" s="24"/>
      <c r="K81" s="24"/>
    </row>
    <row r="82" spans="2:11" ht="15">
      <c r="B82" s="24"/>
      <c r="C82" s="24"/>
      <c r="D82" s="24"/>
      <c r="E82" s="24"/>
      <c r="F82" s="24"/>
      <c r="G82" s="24"/>
      <c r="H82" s="24"/>
      <c r="I82" s="24"/>
      <c r="J82" s="24"/>
      <c r="K82" s="24"/>
    </row>
    <row r="83" spans="2:11" ht="15">
      <c r="B83" s="24"/>
      <c r="C83" s="24"/>
      <c r="D83" s="24"/>
      <c r="E83" s="24"/>
      <c r="F83" s="24"/>
      <c r="G83" s="24"/>
      <c r="H83" s="24"/>
      <c r="I83" s="24"/>
      <c r="J83" s="24"/>
      <c r="K83" s="24"/>
    </row>
    <row r="84" spans="3:11" ht="15">
      <c r="C84" s="45" t="s">
        <v>85</v>
      </c>
      <c r="D84" s="45"/>
      <c r="E84" s="45"/>
      <c r="F84" s="24"/>
      <c r="G84" s="24"/>
      <c r="H84" s="24"/>
      <c r="I84" s="24"/>
      <c r="J84" s="24"/>
      <c r="K84" s="24"/>
    </row>
    <row r="85" spans="3:10" ht="15">
      <c r="C85" s="46"/>
      <c r="D85" s="24"/>
      <c r="E85" s="24"/>
      <c r="F85" s="24"/>
      <c r="G85" s="24"/>
      <c r="H85" s="24"/>
      <c r="I85" s="24" t="s">
        <v>86</v>
      </c>
      <c r="J85" s="24"/>
    </row>
    <row r="86" spans="2:11" ht="15">
      <c r="B86" s="40" t="s">
        <v>87</v>
      </c>
      <c r="D86" s="24" t="s">
        <v>88</v>
      </c>
      <c r="E86" s="24"/>
      <c r="G86" s="40" t="s">
        <v>89</v>
      </c>
      <c r="H86" s="24"/>
      <c r="I86" s="24"/>
      <c r="J86" s="24" t="s">
        <v>90</v>
      </c>
      <c r="K86" s="24"/>
    </row>
    <row r="87" spans="2:10" ht="15">
      <c r="B87" s="18">
        <v>1</v>
      </c>
      <c r="C87" s="18" t="s">
        <v>91</v>
      </c>
      <c r="D87" s="18">
        <f aca="true" t="shared" si="0" ref="D87:D106">+E87/1000000</f>
        <v>256.904992</v>
      </c>
      <c r="E87" s="18">
        <v>256904992</v>
      </c>
      <c r="F87" s="47">
        <f>+J87</f>
        <v>24.4</v>
      </c>
      <c r="G87" s="18">
        <f>+F87*1000/D87</f>
        <v>94.97674533315414</v>
      </c>
      <c r="I87" s="18" t="s">
        <v>91</v>
      </c>
      <c r="J87" s="18">
        <v>24.4</v>
      </c>
    </row>
    <row r="88" spans="2:10" ht="15">
      <c r="B88" s="18">
        <v>3</v>
      </c>
      <c r="C88" s="18" t="s">
        <v>92</v>
      </c>
      <c r="D88" s="18">
        <f t="shared" si="0"/>
        <v>78.155</v>
      </c>
      <c r="E88" s="18">
        <v>78155000</v>
      </c>
      <c r="F88" s="47"/>
      <c r="G88" s="24"/>
      <c r="H88" s="24"/>
      <c r="I88" s="18" t="s">
        <v>81</v>
      </c>
      <c r="J88" s="18">
        <v>17.7</v>
      </c>
    </row>
    <row r="89" spans="2:10" ht="15">
      <c r="B89" s="18">
        <v>5</v>
      </c>
      <c r="C89" s="18" t="s">
        <v>93</v>
      </c>
      <c r="D89" s="18">
        <f t="shared" si="0"/>
        <v>65.7953</v>
      </c>
      <c r="E89" s="18">
        <v>65795300</v>
      </c>
      <c r="F89" s="47">
        <f>+J88</f>
        <v>17.7</v>
      </c>
      <c r="G89" s="18">
        <f>+F89*1000/D89</f>
        <v>269.01617592745987</v>
      </c>
      <c r="I89" s="18" t="s">
        <v>77</v>
      </c>
      <c r="J89" s="18">
        <v>8.6</v>
      </c>
    </row>
    <row r="90" spans="2:10" ht="15">
      <c r="B90" s="18">
        <v>7</v>
      </c>
      <c r="C90" s="18" t="s">
        <v>77</v>
      </c>
      <c r="D90" s="18">
        <f t="shared" si="0"/>
        <v>63.58982</v>
      </c>
      <c r="E90" s="18">
        <v>63589820</v>
      </c>
      <c r="F90" s="47">
        <f>+J89</f>
        <v>8.6</v>
      </c>
      <c r="G90" s="18">
        <f>+F90*1000/D90</f>
        <v>135.2417729756115</v>
      </c>
      <c r="I90" s="18" t="s">
        <v>94</v>
      </c>
      <c r="J90" s="18">
        <v>8.3</v>
      </c>
    </row>
    <row r="91" spans="2:10" ht="15">
      <c r="B91" s="18">
        <v>20</v>
      </c>
      <c r="C91" s="18" t="s">
        <v>95</v>
      </c>
      <c r="D91" s="18">
        <f t="shared" si="0"/>
        <v>27.76439</v>
      </c>
      <c r="E91" s="18">
        <v>27764390</v>
      </c>
      <c r="F91" s="47"/>
      <c r="G91" s="24"/>
      <c r="H91" s="24"/>
      <c r="I91" s="18" t="s">
        <v>96</v>
      </c>
      <c r="J91" s="18">
        <v>6.1</v>
      </c>
    </row>
    <row r="92" spans="2:10" ht="15">
      <c r="B92" s="18">
        <v>12</v>
      </c>
      <c r="C92" s="18" t="s">
        <v>79</v>
      </c>
      <c r="D92" s="18">
        <f t="shared" si="0"/>
        <v>20.82193</v>
      </c>
      <c r="E92" s="18">
        <v>20821930</v>
      </c>
      <c r="F92" s="47"/>
      <c r="G92" s="24"/>
      <c r="H92" s="24"/>
      <c r="I92" s="18" t="s">
        <v>97</v>
      </c>
      <c r="J92" s="18">
        <v>5.1</v>
      </c>
    </row>
    <row r="93" spans="2:10" ht="15">
      <c r="B93" s="18">
        <v>4</v>
      </c>
      <c r="C93" s="18" t="s">
        <v>98</v>
      </c>
      <c r="D93" s="18">
        <f t="shared" si="0"/>
        <v>15.006</v>
      </c>
      <c r="E93" s="18">
        <v>15006000</v>
      </c>
      <c r="F93" s="47"/>
      <c r="G93" s="24"/>
      <c r="H93" s="24"/>
      <c r="I93" s="18" t="s">
        <v>99</v>
      </c>
      <c r="J93" s="18">
        <v>3</v>
      </c>
    </row>
    <row r="94" spans="2:10" ht="15">
      <c r="B94" s="18">
        <v>11</v>
      </c>
      <c r="C94" s="18" t="s">
        <v>100</v>
      </c>
      <c r="D94" s="18">
        <f t="shared" si="0"/>
        <v>12.275</v>
      </c>
      <c r="E94" s="18">
        <v>12275000</v>
      </c>
      <c r="F94" s="47"/>
      <c r="G94" s="24"/>
      <c r="H94" s="24"/>
      <c r="I94" s="18" t="s">
        <v>78</v>
      </c>
      <c r="J94" s="18">
        <v>1.7</v>
      </c>
    </row>
    <row r="95" spans="2:10" ht="15">
      <c r="B95" s="18">
        <v>2</v>
      </c>
      <c r="C95" s="18" t="s">
        <v>101</v>
      </c>
      <c r="D95" s="18">
        <f t="shared" si="0"/>
        <v>11.7363</v>
      </c>
      <c r="E95" s="18">
        <v>11736300</v>
      </c>
      <c r="F95" s="47"/>
      <c r="G95" s="24"/>
      <c r="H95" s="24"/>
      <c r="I95" s="18" t="s">
        <v>102</v>
      </c>
      <c r="J95" s="18">
        <v>1.4</v>
      </c>
    </row>
    <row r="96" spans="2:10" ht="15">
      <c r="B96" s="18">
        <v>14</v>
      </c>
      <c r="C96" s="18" t="s">
        <v>103</v>
      </c>
      <c r="D96" s="18">
        <f t="shared" si="0"/>
        <v>10.47345</v>
      </c>
      <c r="E96" s="18">
        <v>10473450</v>
      </c>
      <c r="F96" s="47"/>
      <c r="G96" s="24"/>
      <c r="H96" s="24"/>
      <c r="I96" s="18" t="s">
        <v>83</v>
      </c>
      <c r="J96" s="18">
        <v>0.9</v>
      </c>
    </row>
    <row r="97" spans="2:11" ht="15">
      <c r="B97" s="18">
        <v>17</v>
      </c>
      <c r="C97" s="18" t="s">
        <v>102</v>
      </c>
      <c r="D97" s="18">
        <f t="shared" si="0"/>
        <v>10.4459</v>
      </c>
      <c r="E97" s="18">
        <v>10445900</v>
      </c>
      <c r="F97" s="47"/>
      <c r="G97" s="24"/>
      <c r="H97" s="24"/>
      <c r="I97" s="18" t="s">
        <v>72</v>
      </c>
      <c r="J97" s="24" t="s">
        <v>104</v>
      </c>
      <c r="K97" s="24"/>
    </row>
    <row r="98" spans="2:11" ht="15">
      <c r="B98" s="18">
        <v>15</v>
      </c>
      <c r="C98" s="18" t="s">
        <v>105</v>
      </c>
      <c r="D98" s="18">
        <f t="shared" si="0"/>
        <v>9.03361</v>
      </c>
      <c r="E98" s="18">
        <v>9033610</v>
      </c>
      <c r="F98" s="47">
        <f>+J94</f>
        <v>1.7</v>
      </c>
      <c r="G98" s="18">
        <f>+F98*1000/D98</f>
        <v>188.18611828493815</v>
      </c>
      <c r="H98" s="24"/>
      <c r="I98" s="24"/>
      <c r="J98" s="24"/>
      <c r="K98" s="24"/>
    </row>
    <row r="99" spans="2:11" ht="15">
      <c r="B99" s="18">
        <v>6</v>
      </c>
      <c r="C99" s="18" t="s">
        <v>106</v>
      </c>
      <c r="D99" s="18">
        <f t="shared" si="0"/>
        <v>8.57429</v>
      </c>
      <c r="E99" s="18">
        <v>8574290</v>
      </c>
      <c r="F99" s="47"/>
      <c r="G99" s="24"/>
      <c r="H99" s="24"/>
      <c r="I99" s="24"/>
      <c r="J99" s="24"/>
      <c r="K99" s="24"/>
    </row>
    <row r="100" spans="2:11" ht="15">
      <c r="B100" s="18">
        <v>13</v>
      </c>
      <c r="C100" s="18" t="s">
        <v>107</v>
      </c>
      <c r="D100" s="18">
        <f t="shared" si="0"/>
        <v>6.12567</v>
      </c>
      <c r="E100" s="18">
        <v>6125670</v>
      </c>
      <c r="F100" s="47"/>
      <c r="G100" s="24"/>
      <c r="H100" s="24"/>
      <c r="I100" s="24"/>
      <c r="J100" s="24"/>
      <c r="K100" s="24"/>
    </row>
    <row r="101" spans="2:11" ht="15">
      <c r="B101" s="18">
        <v>19</v>
      </c>
      <c r="C101" s="18" t="s">
        <v>108</v>
      </c>
      <c r="D101" s="18">
        <f t="shared" si="0"/>
        <v>6.07269</v>
      </c>
      <c r="E101" s="18">
        <v>6072690</v>
      </c>
      <c r="F101" s="47"/>
      <c r="G101" s="24"/>
      <c r="H101" s="24"/>
      <c r="I101" s="24"/>
      <c r="J101" s="24"/>
      <c r="K101" s="24"/>
    </row>
    <row r="102" spans="2:11" ht="15">
      <c r="B102" s="18">
        <v>9</v>
      </c>
      <c r="C102" s="18" t="s">
        <v>109</v>
      </c>
      <c r="D102" s="18">
        <f t="shared" si="0"/>
        <v>5.141</v>
      </c>
      <c r="E102" s="18">
        <v>5141000</v>
      </c>
      <c r="F102" s="47"/>
      <c r="G102" s="24"/>
      <c r="H102" s="24"/>
      <c r="I102" s="24"/>
      <c r="J102" s="24"/>
      <c r="K102" s="24"/>
    </row>
    <row r="103" spans="2:11" ht="15">
      <c r="B103" s="18">
        <v>18</v>
      </c>
      <c r="C103" s="18" t="s">
        <v>110</v>
      </c>
      <c r="D103" s="18">
        <f t="shared" si="0"/>
        <v>4.49</v>
      </c>
      <c r="E103" s="18">
        <v>4490000</v>
      </c>
      <c r="F103" s="47"/>
      <c r="G103" s="24"/>
      <c r="H103" s="24"/>
      <c r="I103" s="24"/>
      <c r="J103" s="24"/>
      <c r="K103" s="24"/>
    </row>
    <row r="104" spans="2:11" ht="15">
      <c r="B104" s="18">
        <v>16</v>
      </c>
      <c r="C104" s="18" t="s">
        <v>111</v>
      </c>
      <c r="D104" s="18">
        <f t="shared" si="0"/>
        <v>4.24181</v>
      </c>
      <c r="E104" s="18">
        <v>4241810</v>
      </c>
      <c r="F104" s="47"/>
      <c r="G104" s="24"/>
      <c r="H104" s="24"/>
      <c r="I104" s="24"/>
      <c r="J104" s="24"/>
      <c r="K104" s="24"/>
    </row>
    <row r="105" spans="2:11" ht="15">
      <c r="B105" s="18">
        <v>8</v>
      </c>
      <c r="C105" s="18" t="s">
        <v>112</v>
      </c>
      <c r="D105" s="18">
        <f t="shared" si="0"/>
        <v>3.96781</v>
      </c>
      <c r="E105" s="18">
        <v>3967810</v>
      </c>
      <c r="F105" s="47">
        <f>+J91</f>
        <v>6.1</v>
      </c>
      <c r="G105" s="18">
        <f>+F105*1000/D105</f>
        <v>1537.372001179492</v>
      </c>
      <c r="H105" s="24"/>
      <c r="I105" s="24"/>
      <c r="J105" s="24"/>
      <c r="K105" s="24"/>
    </row>
    <row r="106" spans="2:11" ht="15">
      <c r="B106" s="18">
        <v>10</v>
      </c>
      <c r="C106" s="18" t="s">
        <v>113</v>
      </c>
      <c r="D106" s="18">
        <f t="shared" si="0"/>
        <v>2.5842</v>
      </c>
      <c r="E106" s="18">
        <v>2584200</v>
      </c>
      <c r="F106" s="47"/>
      <c r="G106" s="24"/>
      <c r="H106" s="24"/>
      <c r="I106" s="24"/>
      <c r="J106" s="24"/>
      <c r="K106" s="24"/>
    </row>
    <row r="107" spans="2:11" ht="15">
      <c r="B107" s="24"/>
      <c r="C107" s="24"/>
      <c r="D107" s="24"/>
      <c r="E107" s="24"/>
      <c r="F107" s="24"/>
      <c r="G107" s="24"/>
      <c r="H107" s="24"/>
      <c r="I107" s="24"/>
      <c r="J107" s="24"/>
      <c r="K107" s="24"/>
    </row>
    <row r="108" spans="3:11" ht="15">
      <c r="C108" s="24" t="s">
        <v>114</v>
      </c>
      <c r="D108" s="24"/>
      <c r="E108" s="24"/>
      <c r="F108" s="24"/>
      <c r="G108" s="24"/>
      <c r="H108" s="24"/>
      <c r="I108" s="24"/>
      <c r="J108" s="24"/>
      <c r="K108" s="24"/>
    </row>
    <row r="109" spans="2:11" ht="15">
      <c r="B109" s="24"/>
      <c r="C109" s="24"/>
      <c r="D109" s="24"/>
      <c r="E109" s="24"/>
      <c r="F109" s="24"/>
      <c r="G109" s="24"/>
      <c r="H109" s="24"/>
      <c r="I109" s="24"/>
      <c r="J109" s="24"/>
      <c r="K109" s="24"/>
    </row>
    <row r="110" spans="2:11" ht="15">
      <c r="B110" s="24"/>
      <c r="C110" s="24"/>
      <c r="D110" s="24"/>
      <c r="E110" s="24"/>
      <c r="F110" s="24"/>
      <c r="G110" s="24"/>
      <c r="H110" s="24"/>
      <c r="I110" s="24"/>
      <c r="J110" s="24"/>
      <c r="K110" s="24"/>
    </row>
    <row r="111" spans="3:11" ht="15">
      <c r="C111" s="24" t="s">
        <v>115</v>
      </c>
      <c r="D111" s="24"/>
      <c r="E111" s="24"/>
      <c r="F111" s="24"/>
      <c r="G111" s="24"/>
      <c r="H111" s="24"/>
      <c r="I111" s="24"/>
      <c r="J111" s="24"/>
      <c r="K111" s="24"/>
    </row>
    <row r="112" spans="2:11" ht="15">
      <c r="B112" s="24"/>
      <c r="C112" s="24"/>
      <c r="D112" s="24"/>
      <c r="E112" s="24"/>
      <c r="F112" s="24"/>
      <c r="G112" s="24"/>
      <c r="H112" s="24"/>
      <c r="I112" s="24"/>
      <c r="J112" s="24"/>
      <c r="K112" s="24"/>
    </row>
    <row r="113" spans="3:11" ht="15">
      <c r="C113" s="24" t="s">
        <v>116</v>
      </c>
      <c r="D113" s="24"/>
      <c r="E113" s="24"/>
      <c r="F113" s="24"/>
      <c r="G113" s="24"/>
      <c r="H113" s="24"/>
      <c r="I113" s="24"/>
      <c r="J113" s="24"/>
      <c r="K113" s="24"/>
    </row>
    <row r="114" spans="3:11" ht="15">
      <c r="C114" s="24" t="s">
        <v>117</v>
      </c>
      <c r="D114" s="24"/>
      <c r="E114" s="24"/>
      <c r="F114" s="24"/>
      <c r="G114" s="24"/>
      <c r="H114" s="24"/>
      <c r="I114" s="24"/>
      <c r="J114" s="24"/>
      <c r="K114" s="24"/>
    </row>
    <row r="115" spans="3:11" ht="15">
      <c r="C115" s="24" t="s">
        <v>118</v>
      </c>
      <c r="D115" s="24"/>
      <c r="E115" s="24"/>
      <c r="F115" s="24"/>
      <c r="G115" s="24"/>
      <c r="H115" s="24"/>
      <c r="I115" s="24"/>
      <c r="J115" s="24"/>
      <c r="K115" s="24"/>
    </row>
    <row r="116" spans="2:11" ht="15">
      <c r="B116" s="24"/>
      <c r="C116" s="24"/>
      <c r="D116" s="24"/>
      <c r="E116" s="24"/>
      <c r="F116" s="24"/>
      <c r="G116" s="24"/>
      <c r="H116" s="24"/>
      <c r="I116" s="24"/>
      <c r="J116" s="24"/>
      <c r="K116" s="24"/>
    </row>
    <row r="117" spans="2:11" ht="15">
      <c r="B117" s="24"/>
      <c r="C117" s="24"/>
      <c r="D117" s="24"/>
      <c r="E117" s="24"/>
      <c r="F117" s="24"/>
      <c r="G117" s="24"/>
      <c r="H117" s="24"/>
      <c r="I117" s="24"/>
      <c r="J117" s="24"/>
      <c r="K117" s="24"/>
    </row>
    <row r="118" spans="3:11" ht="15">
      <c r="C118" s="45" t="s">
        <v>119</v>
      </c>
      <c r="D118" s="45"/>
      <c r="E118" s="24"/>
      <c r="F118" s="24"/>
      <c r="G118" s="24"/>
      <c r="H118" s="24"/>
      <c r="I118" s="24"/>
      <c r="J118" s="24"/>
      <c r="K118" s="24"/>
    </row>
    <row r="119" spans="2:11" ht="15">
      <c r="B119" s="24"/>
      <c r="C119" s="24"/>
      <c r="D119" s="24"/>
      <c r="E119" s="24"/>
      <c r="F119" s="24"/>
      <c r="G119" s="24"/>
      <c r="H119" s="24"/>
      <c r="I119" s="24"/>
      <c r="J119" s="24"/>
      <c r="K119" s="24"/>
    </row>
    <row r="120" spans="3:11" ht="15">
      <c r="C120" s="18" t="s">
        <v>120</v>
      </c>
      <c r="D120" s="24"/>
      <c r="E120" s="24"/>
      <c r="F120" s="24"/>
      <c r="G120" s="24"/>
      <c r="H120" s="24"/>
      <c r="I120" s="24"/>
      <c r="J120" s="24"/>
      <c r="K120" s="24"/>
    </row>
    <row r="121" spans="2:11" ht="15">
      <c r="B121" s="24"/>
      <c r="C121" s="24"/>
      <c r="D121" s="24"/>
      <c r="E121" s="24"/>
      <c r="F121" s="24"/>
      <c r="G121" s="24"/>
      <c r="H121" s="24"/>
      <c r="I121" s="24"/>
      <c r="J121" s="24"/>
      <c r="K121" s="24"/>
    </row>
    <row r="122" spans="3:11" ht="15">
      <c r="C122" s="24" t="s">
        <v>121</v>
      </c>
      <c r="D122" s="24"/>
      <c r="E122" s="24"/>
      <c r="F122" s="24"/>
      <c r="G122" s="24"/>
      <c r="H122" s="24"/>
      <c r="I122" s="24"/>
      <c r="J122" s="24"/>
      <c r="K122" s="24"/>
    </row>
    <row r="123" spans="3:11" ht="15">
      <c r="C123" s="24" t="s">
        <v>122</v>
      </c>
      <c r="D123" s="24"/>
      <c r="E123" s="24"/>
      <c r="F123" s="24"/>
      <c r="G123" s="24"/>
      <c r="H123" s="24"/>
      <c r="I123" s="24"/>
      <c r="J123" s="24"/>
      <c r="K123" s="24"/>
    </row>
    <row r="124" spans="3:11" ht="15">
      <c r="C124" s="24" t="s">
        <v>123</v>
      </c>
      <c r="D124" s="24"/>
      <c r="E124" s="24"/>
      <c r="F124" s="24"/>
      <c r="G124" s="24"/>
      <c r="H124" s="24"/>
      <c r="I124" s="24"/>
      <c r="J124" s="24"/>
      <c r="K124" s="24"/>
    </row>
    <row r="125" spans="3:11" ht="15">
      <c r="C125" s="24" t="s">
        <v>124</v>
      </c>
      <c r="D125" s="24"/>
      <c r="E125" s="24"/>
      <c r="F125" s="24"/>
      <c r="G125" s="24"/>
      <c r="H125" s="24"/>
      <c r="I125" s="24"/>
      <c r="J125" s="24"/>
      <c r="K125" s="24"/>
    </row>
    <row r="126" spans="2:11" ht="15">
      <c r="B126" s="24"/>
      <c r="C126" s="24"/>
      <c r="D126" s="24"/>
      <c r="E126" s="24"/>
      <c r="F126" s="24"/>
      <c r="G126" s="24"/>
      <c r="H126" s="24"/>
      <c r="I126" s="24"/>
      <c r="J126" s="24"/>
      <c r="K126" s="24"/>
    </row>
    <row r="127" spans="3:11" ht="15">
      <c r="C127" s="24" t="s">
        <v>125</v>
      </c>
      <c r="D127" s="24"/>
      <c r="E127" s="24"/>
      <c r="F127" s="24"/>
      <c r="G127" s="24"/>
      <c r="H127" s="24"/>
      <c r="I127" s="24"/>
      <c r="J127" s="24"/>
      <c r="K127" s="24"/>
    </row>
    <row r="128" spans="2:11" ht="15">
      <c r="B128" s="24"/>
      <c r="C128" s="24"/>
      <c r="D128" s="24"/>
      <c r="E128" s="24"/>
      <c r="F128" s="24"/>
      <c r="G128" s="24"/>
      <c r="H128" s="24"/>
      <c r="I128" s="24"/>
      <c r="J128" s="24"/>
      <c r="K128" s="24"/>
    </row>
    <row r="129" spans="3:11" ht="15">
      <c r="C129" s="24" t="s">
        <v>126</v>
      </c>
      <c r="D129" s="24"/>
      <c r="E129" s="24"/>
      <c r="F129" s="24"/>
      <c r="G129" s="24"/>
      <c r="H129" s="24"/>
      <c r="I129" s="24"/>
      <c r="J129" s="24"/>
      <c r="K129" s="24"/>
    </row>
    <row r="130" spans="3:11" ht="15">
      <c r="C130" s="18" t="s">
        <v>127</v>
      </c>
      <c r="D130" s="24"/>
      <c r="E130" s="24"/>
      <c r="F130" s="24"/>
      <c r="G130" s="24"/>
      <c r="H130" s="24"/>
      <c r="I130" s="24"/>
      <c r="J130" s="24"/>
      <c r="K130" s="24"/>
    </row>
    <row r="131" spans="3:11" ht="15">
      <c r="C131" s="24" t="s">
        <v>128</v>
      </c>
      <c r="D131" s="24"/>
      <c r="E131" s="24"/>
      <c r="F131" s="24"/>
      <c r="G131" s="24"/>
      <c r="H131" s="24"/>
      <c r="I131" s="24"/>
      <c r="J131" s="24"/>
      <c r="K131" s="24"/>
    </row>
    <row r="132" spans="3:11" ht="15">
      <c r="C132" s="24" t="s">
        <v>129</v>
      </c>
      <c r="D132" s="24"/>
      <c r="E132" s="24"/>
      <c r="F132" s="24"/>
      <c r="G132" s="24"/>
      <c r="H132" s="24"/>
      <c r="I132" s="24"/>
      <c r="J132" s="24"/>
      <c r="K132" s="24"/>
    </row>
    <row r="133" spans="2:11" ht="15">
      <c r="B133" s="24"/>
      <c r="C133" s="24"/>
      <c r="D133" s="24"/>
      <c r="E133" s="24"/>
      <c r="F133" s="24"/>
      <c r="G133" s="24"/>
      <c r="H133" s="24"/>
      <c r="I133" s="24"/>
      <c r="J133" s="24"/>
      <c r="K133" s="24"/>
    </row>
    <row r="134" spans="3:11" ht="15">
      <c r="C134" s="18" t="s">
        <v>130</v>
      </c>
      <c r="D134" s="24"/>
      <c r="E134" s="24"/>
      <c r="F134" s="24"/>
      <c r="G134" s="24"/>
      <c r="H134" s="24"/>
      <c r="I134" s="24"/>
      <c r="J134" s="24"/>
      <c r="K134" s="24"/>
    </row>
    <row r="135" spans="2:11" ht="15">
      <c r="B135" s="24"/>
      <c r="C135" s="24"/>
      <c r="D135" s="24"/>
      <c r="E135" s="24"/>
      <c r="F135" s="24"/>
      <c r="G135" s="24"/>
      <c r="H135" s="24"/>
      <c r="I135" s="24"/>
      <c r="J135" s="24"/>
      <c r="K135" s="24"/>
    </row>
    <row r="136" spans="3:11" ht="15">
      <c r="C136" s="24" t="s">
        <v>131</v>
      </c>
      <c r="D136" s="24"/>
      <c r="E136" s="24"/>
      <c r="F136" s="24"/>
      <c r="G136" s="24"/>
      <c r="H136" s="24"/>
      <c r="I136" s="24"/>
      <c r="J136" s="24"/>
      <c r="K136" s="24"/>
    </row>
    <row r="137" spans="3:11" ht="15">
      <c r="C137" s="24" t="s">
        <v>132</v>
      </c>
      <c r="D137" s="24"/>
      <c r="E137" s="24"/>
      <c r="F137" s="24"/>
      <c r="G137" s="24"/>
      <c r="H137" s="24"/>
      <c r="I137" s="24"/>
      <c r="J137" s="24"/>
      <c r="K137" s="24"/>
    </row>
    <row r="138" spans="3:11" ht="15">
      <c r="C138" s="18" t="s">
        <v>133</v>
      </c>
      <c r="D138" s="24"/>
      <c r="E138" s="24"/>
      <c r="F138" s="24"/>
      <c r="G138" s="24"/>
      <c r="H138" s="24"/>
      <c r="I138" s="24"/>
      <c r="J138" s="24"/>
      <c r="K138" s="24"/>
    </row>
    <row r="139" spans="3:11" ht="15">
      <c r="C139" s="18" t="s">
        <v>134</v>
      </c>
      <c r="D139" s="24"/>
      <c r="E139" s="24"/>
      <c r="F139" s="24"/>
      <c r="G139" s="24"/>
      <c r="H139" s="24"/>
      <c r="I139" s="24"/>
      <c r="J139" s="24"/>
      <c r="K139" s="24"/>
    </row>
    <row r="140" spans="3:11" ht="15">
      <c r="C140" s="24" t="s">
        <v>135</v>
      </c>
      <c r="D140" s="24"/>
      <c r="E140" s="24"/>
      <c r="F140" s="24"/>
      <c r="G140" s="24"/>
      <c r="H140" s="24"/>
      <c r="I140" s="24"/>
      <c r="J140" s="24"/>
      <c r="K140" s="24"/>
    </row>
    <row r="141" spans="3:11" ht="15">
      <c r="C141" s="24" t="s">
        <v>136</v>
      </c>
      <c r="D141" s="24"/>
      <c r="E141" s="24"/>
      <c r="F141" s="24"/>
      <c r="G141" s="24"/>
      <c r="H141" s="24"/>
      <c r="I141" s="24"/>
      <c r="J141" s="24"/>
      <c r="K141" s="24"/>
    </row>
    <row r="142" spans="2:11" ht="15">
      <c r="B142" s="24"/>
      <c r="C142" s="24"/>
      <c r="D142" s="24"/>
      <c r="E142" s="24"/>
      <c r="F142" s="24"/>
      <c r="G142" s="24"/>
      <c r="H142" s="24"/>
      <c r="I142" s="24"/>
      <c r="J142" s="24"/>
      <c r="K142" s="24"/>
    </row>
    <row r="143" spans="3:11" ht="15">
      <c r="C143" s="18" t="s">
        <v>137</v>
      </c>
      <c r="D143" s="24"/>
      <c r="E143" s="24"/>
      <c r="F143" s="24"/>
      <c r="G143" s="24"/>
      <c r="H143" s="24"/>
      <c r="I143" s="24"/>
      <c r="J143" s="24"/>
      <c r="K143" s="24"/>
    </row>
    <row r="144" spans="2:11" ht="15">
      <c r="B144" s="24"/>
      <c r="C144" s="24"/>
      <c r="D144" s="24"/>
      <c r="E144" s="24"/>
      <c r="F144" s="24"/>
      <c r="G144" s="24"/>
      <c r="H144" s="24"/>
      <c r="I144" s="24"/>
      <c r="J144" s="24"/>
      <c r="K144" s="24"/>
    </row>
    <row r="145" spans="3:11" ht="15">
      <c r="C145" s="24" t="s">
        <v>138</v>
      </c>
      <c r="D145" s="24"/>
      <c r="E145" s="24"/>
      <c r="F145" s="24"/>
      <c r="G145" s="24"/>
      <c r="H145" s="24"/>
      <c r="I145" s="24"/>
      <c r="J145" s="24"/>
      <c r="K145" s="24"/>
    </row>
    <row r="146" spans="3:11" ht="15">
      <c r="C146" s="24" t="s">
        <v>139</v>
      </c>
      <c r="D146" s="24"/>
      <c r="E146" s="24"/>
      <c r="F146" s="24"/>
      <c r="G146" s="24"/>
      <c r="H146" s="24"/>
      <c r="I146" s="24"/>
      <c r="J146" s="24"/>
      <c r="K146" s="24"/>
    </row>
    <row r="147" spans="3:11" ht="15">
      <c r="C147" s="24" t="s">
        <v>140</v>
      </c>
      <c r="D147" s="24"/>
      <c r="E147" s="24"/>
      <c r="F147" s="24"/>
      <c r="G147" s="24"/>
      <c r="H147" s="24"/>
      <c r="I147" s="24"/>
      <c r="J147" s="24"/>
      <c r="K147" s="24"/>
    </row>
    <row r="148" spans="3:11" ht="15">
      <c r="C148" s="24" t="s">
        <v>141</v>
      </c>
      <c r="D148" s="24"/>
      <c r="E148" s="24"/>
      <c r="F148" s="24"/>
      <c r="G148" s="24"/>
      <c r="H148" s="24"/>
      <c r="I148" s="24"/>
      <c r="J148" s="24"/>
      <c r="K148" s="24"/>
    </row>
    <row r="149" spans="3:11" ht="15">
      <c r="C149" s="24" t="s">
        <v>142</v>
      </c>
      <c r="D149" s="24"/>
      <c r="E149" s="24"/>
      <c r="F149" s="24"/>
      <c r="G149" s="24"/>
      <c r="H149" s="24"/>
      <c r="I149" s="24"/>
      <c r="J149" s="24"/>
      <c r="K149" s="24"/>
    </row>
    <row r="150" spans="2:11" ht="15">
      <c r="B150" s="24"/>
      <c r="C150" s="24"/>
      <c r="D150" s="24"/>
      <c r="E150" s="24"/>
      <c r="F150" s="24"/>
      <c r="G150" s="24"/>
      <c r="H150" s="24"/>
      <c r="I150" s="24"/>
      <c r="J150" s="24"/>
      <c r="K150" s="24"/>
    </row>
    <row r="151" spans="2:11" ht="15">
      <c r="B151" s="24"/>
      <c r="C151" s="24"/>
      <c r="D151" s="24"/>
      <c r="E151" s="24"/>
      <c r="F151" s="24"/>
      <c r="G151" s="24"/>
      <c r="H151" s="24"/>
      <c r="I151" s="24"/>
      <c r="J151" s="24"/>
      <c r="K151" s="24"/>
    </row>
    <row r="152" spans="3:11" ht="15">
      <c r="C152" s="45" t="s">
        <v>143</v>
      </c>
      <c r="D152" s="45"/>
      <c r="E152" s="24"/>
      <c r="F152" s="24"/>
      <c r="G152" s="24"/>
      <c r="H152" s="24"/>
      <c r="I152" s="24"/>
      <c r="J152" s="24"/>
      <c r="K152" s="24"/>
    </row>
    <row r="153" spans="3:11" ht="75.75" customHeight="1">
      <c r="C153" s="264" t="s">
        <v>144</v>
      </c>
      <c r="D153" s="264"/>
      <c r="E153" s="264"/>
      <c r="F153" s="264"/>
      <c r="G153" s="264"/>
      <c r="H153" s="24"/>
      <c r="I153" s="24"/>
      <c r="J153" s="24"/>
      <c r="K153" s="24"/>
    </row>
    <row r="154" spans="2:11" ht="15">
      <c r="B154" s="24"/>
      <c r="C154" s="24"/>
      <c r="D154" s="24"/>
      <c r="E154" s="24"/>
      <c r="F154" s="24"/>
      <c r="G154" s="24"/>
      <c r="H154" s="24"/>
      <c r="I154" s="24"/>
      <c r="J154" s="24"/>
      <c r="K154" s="24"/>
    </row>
    <row r="155" spans="3:11" ht="51" customHeight="1">
      <c r="C155" s="265" t="s">
        <v>145</v>
      </c>
      <c r="D155" s="265"/>
      <c r="E155" s="265"/>
      <c r="F155" s="265"/>
      <c r="G155" s="265"/>
      <c r="H155" s="24"/>
      <c r="I155" s="24"/>
      <c r="J155" s="24"/>
      <c r="K155" s="24"/>
    </row>
    <row r="156" spans="3:11" ht="15">
      <c r="C156" s="48"/>
      <c r="D156" s="49"/>
      <c r="E156" s="49"/>
      <c r="F156" s="49"/>
      <c r="G156" s="49"/>
      <c r="H156" s="24"/>
      <c r="I156" s="24"/>
      <c r="J156" s="24"/>
      <c r="K156" s="24"/>
    </row>
    <row r="157" spans="3:11" ht="15">
      <c r="C157" s="24" t="s">
        <v>146</v>
      </c>
      <c r="D157" s="24"/>
      <c r="E157" s="24"/>
      <c r="F157" s="24"/>
      <c r="G157" s="24"/>
      <c r="H157" s="24"/>
      <c r="I157" s="24"/>
      <c r="J157" s="24"/>
      <c r="K157" s="24"/>
    </row>
    <row r="158" spans="2:11" ht="15">
      <c r="B158" s="24"/>
      <c r="C158" s="24"/>
      <c r="D158" s="24"/>
      <c r="E158" s="24"/>
      <c r="F158" s="24"/>
      <c r="G158" s="24"/>
      <c r="H158" s="24"/>
      <c r="I158" s="24"/>
      <c r="J158" s="24"/>
      <c r="K158" s="24"/>
    </row>
    <row r="159" spans="3:11" ht="15">
      <c r="C159" s="45" t="s">
        <v>147</v>
      </c>
      <c r="D159" s="45"/>
      <c r="E159" s="24"/>
      <c r="F159" s="24"/>
      <c r="G159" s="24"/>
      <c r="H159" s="24"/>
      <c r="I159" s="24"/>
      <c r="J159" s="24"/>
      <c r="K159" s="24"/>
    </row>
    <row r="160" spans="3:11" ht="15">
      <c r="C160" s="46"/>
      <c r="D160" s="24"/>
      <c r="E160" s="24"/>
      <c r="F160" s="24"/>
      <c r="G160" s="24"/>
      <c r="H160" s="24"/>
      <c r="I160" s="24"/>
      <c r="J160" s="24"/>
      <c r="K160" s="24"/>
    </row>
    <row r="161" spans="3:11" ht="15">
      <c r="C161" s="30" t="s">
        <v>41</v>
      </c>
      <c r="D161" s="24"/>
      <c r="E161" s="24"/>
      <c r="F161" s="30" t="s">
        <v>148</v>
      </c>
      <c r="H161" s="29" t="s">
        <v>149</v>
      </c>
      <c r="I161" s="24"/>
      <c r="J161" s="24"/>
      <c r="K161" s="24"/>
    </row>
    <row r="162" spans="3:11" ht="15">
      <c r="C162" s="46"/>
      <c r="D162" s="24"/>
      <c r="E162" s="24"/>
      <c r="F162" s="24"/>
      <c r="G162" s="24"/>
      <c r="H162" s="50"/>
      <c r="I162" s="24"/>
      <c r="J162" s="24"/>
      <c r="K162" s="24"/>
    </row>
    <row r="163" spans="3:11" ht="15">
      <c r="C163" s="18" t="s">
        <v>150</v>
      </c>
      <c r="D163" s="18">
        <f>+E24</f>
        <v>9158960</v>
      </c>
      <c r="E163" s="24"/>
      <c r="F163" s="24"/>
      <c r="G163" s="18" t="s">
        <v>30</v>
      </c>
      <c r="H163" s="24"/>
      <c r="I163" s="24"/>
      <c r="J163" s="24"/>
      <c r="K163" s="24"/>
    </row>
    <row r="164" spans="2:11" ht="15">
      <c r="B164" s="24"/>
      <c r="C164" s="24"/>
      <c r="D164" s="18">
        <f>+D163*100</f>
        <v>915896000</v>
      </c>
      <c r="E164" s="24"/>
      <c r="F164" s="24"/>
      <c r="G164" s="18" t="s">
        <v>151</v>
      </c>
      <c r="H164" s="24"/>
      <c r="I164" s="24"/>
      <c r="J164" s="24"/>
      <c r="K164" s="24"/>
    </row>
    <row r="165" spans="3:11" ht="15">
      <c r="C165" s="18" t="s">
        <v>150</v>
      </c>
      <c r="D165" s="18">
        <f>+D166/H166</f>
        <v>884135000</v>
      </c>
      <c r="F165" s="40" t="s">
        <v>152</v>
      </c>
      <c r="G165" s="18" t="str">
        <f aca="true" t="shared" si="1" ref="G165:G173">+G164</f>
        <v>hectares</v>
      </c>
      <c r="H165" s="39">
        <f>+D165/D164</f>
        <v>0.9653224820285272</v>
      </c>
      <c r="I165" s="18" t="s">
        <v>153</v>
      </c>
      <c r="J165" s="24"/>
      <c r="K165" s="24"/>
    </row>
    <row r="166" spans="3:11" ht="15">
      <c r="C166" s="18" t="s">
        <v>154</v>
      </c>
      <c r="D166" s="18">
        <v>176827000</v>
      </c>
      <c r="F166" s="18">
        <f>+D$164*H166</f>
        <v>183179200</v>
      </c>
      <c r="G166" s="18" t="str">
        <f t="shared" si="1"/>
        <v>hectares</v>
      </c>
      <c r="H166" s="39">
        <v>0.2</v>
      </c>
      <c r="I166" s="24"/>
      <c r="J166" s="24"/>
      <c r="K166" s="24"/>
    </row>
    <row r="167" spans="3:11" ht="15">
      <c r="C167" s="18" t="s">
        <v>155</v>
      </c>
      <c r="D167" s="18">
        <v>2050000</v>
      </c>
      <c r="F167" s="18">
        <f>+D$164*H167</f>
        <v>2050000</v>
      </c>
      <c r="G167" s="18" t="str">
        <f t="shared" si="1"/>
        <v>hectares</v>
      </c>
      <c r="H167" s="51">
        <f>+D167/D164</f>
        <v>0.002238245390306323</v>
      </c>
      <c r="I167" s="24"/>
      <c r="J167" s="24"/>
      <c r="K167" s="24"/>
    </row>
    <row r="168" spans="3:11" ht="15">
      <c r="C168" s="18" t="s">
        <v>156</v>
      </c>
      <c r="D168" s="24"/>
      <c r="E168" s="24"/>
      <c r="F168" s="24"/>
      <c r="G168" s="18" t="str">
        <f t="shared" si="1"/>
        <v>hectares</v>
      </c>
      <c r="H168" s="51"/>
      <c r="I168" s="24"/>
      <c r="J168" s="24"/>
      <c r="K168" s="24"/>
    </row>
    <row r="169" spans="3:11" ht="15">
      <c r="C169" s="18" t="s">
        <v>157</v>
      </c>
      <c r="D169" s="18">
        <v>234000000</v>
      </c>
      <c r="F169" s="18">
        <f>+D$164*H169</f>
        <v>238132960</v>
      </c>
      <c r="G169" s="18" t="str">
        <f t="shared" si="1"/>
        <v>hectares</v>
      </c>
      <c r="H169" s="39">
        <v>0.26</v>
      </c>
      <c r="I169" s="24"/>
      <c r="J169" s="24"/>
      <c r="K169" s="24"/>
    </row>
    <row r="170" spans="3:11" ht="15">
      <c r="C170" s="18" t="s">
        <v>158</v>
      </c>
      <c r="D170" s="24"/>
      <c r="E170" s="24"/>
      <c r="F170" s="18">
        <f>+D$164*H170</f>
        <v>119066480</v>
      </c>
      <c r="G170" s="18" t="str">
        <f t="shared" si="1"/>
        <v>hectares</v>
      </c>
      <c r="H170" s="39">
        <v>0.13</v>
      </c>
      <c r="I170" s="24"/>
      <c r="J170" s="24"/>
      <c r="K170" s="24"/>
    </row>
    <row r="171" spans="3:11" ht="15">
      <c r="C171" s="18" t="s">
        <v>159</v>
      </c>
      <c r="D171" s="24"/>
      <c r="E171" s="24"/>
      <c r="F171" s="18">
        <f>+D$164*H171</f>
        <v>494583840.00000006</v>
      </c>
      <c r="G171" s="18" t="str">
        <f t="shared" si="1"/>
        <v>hectares</v>
      </c>
      <c r="H171" s="39">
        <v>0.54</v>
      </c>
      <c r="I171" s="24"/>
      <c r="J171" s="24"/>
      <c r="K171" s="24"/>
    </row>
    <row r="172" spans="2:11" ht="15">
      <c r="B172" s="24"/>
      <c r="C172" s="24"/>
      <c r="D172" s="24"/>
      <c r="E172" s="24"/>
      <c r="F172" s="24"/>
      <c r="G172" s="18" t="str">
        <f t="shared" si="1"/>
        <v>hectares</v>
      </c>
      <c r="H172" s="39"/>
      <c r="I172" s="24"/>
      <c r="J172" s="24"/>
      <c r="K172" s="24"/>
    </row>
    <row r="173" spans="3:11" ht="15">
      <c r="C173" s="18" t="s">
        <v>51</v>
      </c>
      <c r="D173" s="18">
        <f>+E35*100</f>
        <v>29525400</v>
      </c>
      <c r="E173" s="24"/>
      <c r="F173" s="24"/>
      <c r="G173" s="18" t="str">
        <f t="shared" si="1"/>
        <v>hectares</v>
      </c>
      <c r="H173" s="39">
        <f>+D173/F170</f>
        <v>0.24797407297167096</v>
      </c>
      <c r="I173" s="18" t="s">
        <v>160</v>
      </c>
      <c r="J173" s="24"/>
      <c r="K173" s="24"/>
    </row>
    <row r="174" spans="2:11" ht="15">
      <c r="B174" s="24"/>
      <c r="C174" s="24"/>
      <c r="D174" s="24"/>
      <c r="E174" s="24"/>
      <c r="F174" s="24"/>
      <c r="G174" s="24"/>
      <c r="H174" s="24"/>
      <c r="I174" s="24"/>
      <c r="J174" s="24"/>
      <c r="K174" s="24"/>
    </row>
    <row r="175" spans="2:11" ht="15">
      <c r="B175" s="24"/>
      <c r="C175" s="24"/>
      <c r="D175" s="24"/>
      <c r="E175" s="24"/>
      <c r="F175" s="24"/>
      <c r="G175" s="24"/>
      <c r="H175" s="24"/>
      <c r="I175" s="24"/>
      <c r="J175" s="24"/>
      <c r="K175" s="24"/>
    </row>
    <row r="176" spans="2:10" ht="15">
      <c r="B176" s="24"/>
      <c r="C176" s="24"/>
      <c r="D176" s="24"/>
      <c r="E176" s="24"/>
      <c r="F176" s="24"/>
      <c r="G176" s="24"/>
      <c r="H176" s="24"/>
      <c r="I176" s="24"/>
      <c r="J176" s="18">
        <v>410000</v>
      </c>
    </row>
    <row r="177" spans="2:10" ht="15">
      <c r="B177" s="24"/>
      <c r="C177" s="24"/>
      <c r="D177" s="24"/>
      <c r="E177" s="24"/>
      <c r="F177" s="24"/>
      <c r="G177" s="24"/>
      <c r="H177" s="24"/>
      <c r="I177" s="24"/>
      <c r="J177" s="18">
        <f>+J176*100</f>
        <v>41000000</v>
      </c>
    </row>
    <row r="178" spans="2:11" ht="15">
      <c r="B178" s="24"/>
      <c r="C178" s="24"/>
      <c r="D178" s="24"/>
      <c r="E178" s="24"/>
      <c r="F178" s="24"/>
      <c r="G178" s="24"/>
      <c r="H178" s="24"/>
      <c r="I178" s="24"/>
      <c r="J178" s="24"/>
      <c r="K178" s="24"/>
    </row>
    <row r="179" spans="2:11" ht="15.75">
      <c r="B179" s="52" t="s">
        <v>52</v>
      </c>
      <c r="C179" s="53" t="s">
        <v>161</v>
      </c>
      <c r="D179" s="24"/>
      <c r="E179" s="24"/>
      <c r="F179" s="29" t="s">
        <v>149</v>
      </c>
      <c r="G179" s="24"/>
      <c r="H179" s="24"/>
      <c r="I179" s="24"/>
      <c r="J179" s="24"/>
      <c r="K179" s="24"/>
    </row>
    <row r="180" spans="3:11" ht="15">
      <c r="C180" s="54" t="s">
        <v>162</v>
      </c>
      <c r="D180" s="24"/>
      <c r="E180" s="24"/>
      <c r="F180" s="50"/>
      <c r="G180" s="24"/>
      <c r="H180" s="24"/>
      <c r="I180" s="24"/>
      <c r="J180" s="24"/>
      <c r="K180" s="24"/>
    </row>
    <row r="181" spans="2:11" ht="15">
      <c r="B181" s="18" t="s">
        <v>163</v>
      </c>
      <c r="C181" s="19">
        <v>99.81</v>
      </c>
      <c r="D181" s="18">
        <f>+C181*1000000*J$10</f>
        <v>40391747.196222745</v>
      </c>
      <c r="E181" s="18" t="s">
        <v>151</v>
      </c>
      <c r="F181" s="39">
        <f>+D181/D$181</f>
        <v>1</v>
      </c>
      <c r="G181" s="24"/>
      <c r="H181" s="24"/>
      <c r="I181" s="24"/>
      <c r="J181" s="24"/>
      <c r="K181" s="24"/>
    </row>
    <row r="182" spans="2:11" ht="15">
      <c r="B182" s="18" t="s">
        <v>164</v>
      </c>
      <c r="C182" s="19">
        <v>27.59</v>
      </c>
      <c r="D182" s="18">
        <f>+C182*1000000*J$10</f>
        <v>11165297.115958177</v>
      </c>
      <c r="F182" s="39">
        <f>+D182/D$181</f>
        <v>0.2764252078950005</v>
      </c>
      <c r="G182" s="24"/>
      <c r="H182" s="24"/>
      <c r="I182" s="24"/>
      <c r="J182" s="24"/>
      <c r="K182" s="24"/>
    </row>
    <row r="183" spans="3:11" ht="15">
      <c r="C183" s="19"/>
      <c r="D183" s="24"/>
      <c r="E183" s="24"/>
      <c r="F183" s="39"/>
      <c r="G183" s="24"/>
      <c r="H183" s="24"/>
      <c r="I183" s="24"/>
      <c r="J183" s="24"/>
      <c r="K183" s="24"/>
    </row>
    <row r="184" spans="2:11" ht="15">
      <c r="B184" s="18" t="s">
        <v>165</v>
      </c>
      <c r="C184" s="19"/>
      <c r="D184" s="24"/>
      <c r="E184" s="24"/>
      <c r="F184" s="39"/>
      <c r="G184" s="24"/>
      <c r="H184" s="24"/>
      <c r="I184" s="24"/>
      <c r="J184" s="24"/>
      <c r="K184" s="24"/>
    </row>
    <row r="185" spans="2:11" ht="15">
      <c r="B185" s="18" t="s">
        <v>166</v>
      </c>
      <c r="C185" s="19">
        <v>10.99</v>
      </c>
      <c r="D185" s="18">
        <f>+C185*1000000*J$10</f>
        <v>4447503.273083739</v>
      </c>
      <c r="F185" s="39">
        <f>+D185/D$181</f>
        <v>0.11010920749423905</v>
      </c>
      <c r="G185" s="24"/>
      <c r="H185" s="24"/>
      <c r="I185" s="24"/>
      <c r="J185" s="24"/>
      <c r="K185" s="24"/>
    </row>
    <row r="186" spans="3:11" ht="15">
      <c r="C186" s="19"/>
      <c r="D186" s="24"/>
      <c r="E186" s="24"/>
      <c r="F186" s="39"/>
      <c r="G186" s="24"/>
      <c r="H186" s="24"/>
      <c r="I186" s="24"/>
      <c r="J186" s="24"/>
      <c r="K186" s="24"/>
    </row>
    <row r="187" spans="2:11" ht="15">
      <c r="B187" s="18" t="s">
        <v>167</v>
      </c>
      <c r="C187" s="39">
        <f>12.2/100</f>
        <v>0.122</v>
      </c>
      <c r="D187" s="18">
        <f>+D$185*C187</f>
        <v>542595.3993162161</v>
      </c>
      <c r="F187" s="39">
        <f>+D187/D$181</f>
        <v>0.013433323314297165</v>
      </c>
      <c r="G187" s="24"/>
      <c r="H187" s="24"/>
      <c r="I187" s="24"/>
      <c r="J187" s="24"/>
      <c r="K187" s="24"/>
    </row>
    <row r="188" spans="2:11" ht="15">
      <c r="B188" s="18" t="s">
        <v>168</v>
      </c>
      <c r="C188" s="39">
        <f>72.3/100</f>
        <v>0.723</v>
      </c>
      <c r="D188" s="18">
        <f>+D$185*C188</f>
        <v>3215544.866439543</v>
      </c>
      <c r="F188" s="39">
        <f>+D188/D$181</f>
        <v>0.07960895701833484</v>
      </c>
      <c r="G188" s="24"/>
      <c r="H188" s="24"/>
      <c r="I188" s="24"/>
      <c r="J188" s="24"/>
      <c r="K188" s="24"/>
    </row>
    <row r="189" spans="2:11" ht="15">
      <c r="B189" s="18" t="s">
        <v>165</v>
      </c>
      <c r="C189" s="19"/>
      <c r="D189" s="24"/>
      <c r="E189" s="24"/>
      <c r="F189" s="39"/>
      <c r="G189" s="24"/>
      <c r="H189" s="24"/>
      <c r="I189" s="24"/>
      <c r="J189" s="24"/>
      <c r="K189" s="24"/>
    </row>
    <row r="190" spans="2:11" ht="15">
      <c r="B190" s="18" t="s">
        <v>169</v>
      </c>
      <c r="C190" s="19">
        <v>8.47</v>
      </c>
      <c r="D190" s="18">
        <f>+C190*1000000*J$10</f>
        <v>3427693.60537027</v>
      </c>
      <c r="F190" s="39">
        <f>+D190/D$181</f>
        <v>0.08486123634906322</v>
      </c>
      <c r="G190" s="24"/>
      <c r="H190" s="24"/>
      <c r="I190" s="24"/>
      <c r="J190" s="24"/>
      <c r="K190" s="24"/>
    </row>
    <row r="191" spans="2:11" ht="15">
      <c r="B191" s="18" t="s">
        <v>165</v>
      </c>
      <c r="C191" s="19"/>
      <c r="D191" s="24"/>
      <c r="E191" s="24"/>
      <c r="F191" s="39"/>
      <c r="G191" s="24"/>
      <c r="H191" s="24"/>
      <c r="I191" s="24"/>
      <c r="J191" s="24"/>
      <c r="K191" s="24"/>
    </row>
    <row r="192" spans="2:11" ht="15">
      <c r="B192" s="18" t="s">
        <v>170</v>
      </c>
      <c r="C192" s="19">
        <v>1.19</v>
      </c>
      <c r="D192" s="18">
        <f>+C192*1000000*J$10</f>
        <v>481576.7875313602</v>
      </c>
      <c r="F192" s="39">
        <f>+D192/D$181</f>
        <v>0.011922653040777477</v>
      </c>
      <c r="G192" s="24"/>
      <c r="H192" s="24"/>
      <c r="I192" s="24"/>
      <c r="J192" s="24"/>
      <c r="K192" s="24"/>
    </row>
    <row r="193" spans="3:11" ht="15">
      <c r="C193" s="19"/>
      <c r="D193" s="24"/>
      <c r="E193" s="24"/>
      <c r="F193" s="39"/>
      <c r="G193" s="24"/>
      <c r="H193" s="24"/>
      <c r="I193" s="24"/>
      <c r="J193" s="24"/>
      <c r="K193" s="24"/>
    </row>
    <row r="194" spans="2:11" ht="15">
      <c r="B194" s="18" t="s">
        <v>167</v>
      </c>
      <c r="C194" s="39">
        <f>57/100</f>
        <v>0.57</v>
      </c>
      <c r="D194" s="18">
        <f>+D192*C194</f>
        <v>274498.7688928753</v>
      </c>
      <c r="F194" s="39">
        <f>+D194/D$181</f>
        <v>0.00679591223324316</v>
      </c>
      <c r="G194" s="24"/>
      <c r="H194" s="24"/>
      <c r="I194" s="24"/>
      <c r="J194" s="24"/>
      <c r="K194" s="24"/>
    </row>
    <row r="195" spans="2:11" ht="15">
      <c r="B195" s="18" t="s">
        <v>165</v>
      </c>
      <c r="C195" s="19"/>
      <c r="D195" s="24"/>
      <c r="E195" s="24"/>
      <c r="F195" s="39"/>
      <c r="G195" s="24"/>
      <c r="H195" s="24"/>
      <c r="I195" s="24"/>
      <c r="J195" s="24"/>
      <c r="K195" s="24"/>
    </row>
    <row r="196" spans="2:11" ht="15">
      <c r="B196" s="18" t="s">
        <v>171</v>
      </c>
      <c r="C196" s="19">
        <v>13.99</v>
      </c>
      <c r="D196" s="18">
        <f>+C196*1000000*J$10</f>
        <v>5661562.401314058</v>
      </c>
      <c r="F196" s="39">
        <f>+D196/D$181</f>
        <v>0.14016631600040075</v>
      </c>
      <c r="G196" s="24"/>
      <c r="H196" s="24"/>
      <c r="I196" s="24"/>
      <c r="J196" s="24"/>
      <c r="K196" s="24"/>
    </row>
    <row r="197" spans="3:11" ht="15">
      <c r="C197" s="39"/>
      <c r="D197" s="24"/>
      <c r="E197" s="24"/>
      <c r="F197" s="39"/>
      <c r="G197" s="24"/>
      <c r="H197" s="24"/>
      <c r="I197" s="24"/>
      <c r="J197" s="24"/>
      <c r="K197" s="24"/>
    </row>
    <row r="198" spans="2:11" ht="15">
      <c r="B198" s="18" t="s">
        <v>165</v>
      </c>
      <c r="C198" s="19"/>
      <c r="D198" s="24"/>
      <c r="E198" s="24"/>
      <c r="F198" s="39"/>
      <c r="G198" s="24"/>
      <c r="H198" s="24"/>
      <c r="I198" s="24"/>
      <c r="J198" s="24"/>
      <c r="K198" s="24"/>
    </row>
    <row r="199" spans="2:11" ht="15">
      <c r="B199" s="24" t="s">
        <v>172</v>
      </c>
      <c r="C199" s="24"/>
      <c r="D199" s="24"/>
      <c r="E199" s="24"/>
      <c r="F199" s="39"/>
      <c r="G199" s="24"/>
      <c r="H199" s="24"/>
      <c r="I199" s="24"/>
      <c r="J199" s="24"/>
      <c r="K199" s="24"/>
    </row>
    <row r="200" spans="2:11" ht="15">
      <c r="B200" s="18" t="s">
        <v>173</v>
      </c>
      <c r="C200" s="19">
        <v>1.42</v>
      </c>
      <c r="D200" s="18">
        <f>+C200*1000000*J$10</f>
        <v>574654.6540290181</v>
      </c>
      <c r="F200" s="43">
        <f>+D200/D$181</f>
        <v>0.014227031359583208</v>
      </c>
      <c r="G200" s="24"/>
      <c r="H200" s="24"/>
      <c r="I200" s="24"/>
      <c r="J200" s="24"/>
      <c r="K200" s="24"/>
    </row>
    <row r="201" spans="2:11" ht="15">
      <c r="B201" s="24" t="s">
        <v>174</v>
      </c>
      <c r="C201" s="24"/>
      <c r="D201" s="24"/>
      <c r="E201" s="24"/>
      <c r="F201" s="39">
        <f>+D200/D182</f>
        <v>0.05146792316056542</v>
      </c>
      <c r="G201" s="24"/>
      <c r="H201" s="24"/>
      <c r="I201" s="24"/>
      <c r="J201" s="24"/>
      <c r="K201" s="24"/>
    </row>
    <row r="202" spans="2:11" ht="15">
      <c r="B202" s="24"/>
      <c r="C202" s="24"/>
      <c r="D202" s="24"/>
      <c r="E202" s="24"/>
      <c r="F202" s="24"/>
      <c r="G202" s="24"/>
      <c r="H202" s="24"/>
      <c r="I202" s="24"/>
      <c r="J202" s="24"/>
      <c r="K202" s="24"/>
    </row>
    <row r="203" spans="2:11" s="55" customFormat="1" ht="6.75" customHeight="1">
      <c r="B203" s="56"/>
      <c r="C203" s="56"/>
      <c r="D203" s="56"/>
      <c r="E203" s="56"/>
      <c r="F203" s="56"/>
      <c r="G203" s="56"/>
      <c r="H203" s="56"/>
      <c r="I203" s="56"/>
      <c r="J203" s="56"/>
      <c r="K203" s="56"/>
    </row>
    <row r="204" spans="2:11" ht="15">
      <c r="B204" s="24"/>
      <c r="C204" s="24"/>
      <c r="D204" s="24"/>
      <c r="E204" s="24"/>
      <c r="F204" s="24"/>
      <c r="G204" s="24"/>
      <c r="H204" s="24"/>
      <c r="I204" s="24"/>
      <c r="J204" s="24"/>
      <c r="K204" s="24"/>
    </row>
    <row r="205" spans="2:11" ht="15">
      <c r="B205" s="24"/>
      <c r="C205" s="24"/>
      <c r="D205" s="24"/>
      <c r="E205" s="24"/>
      <c r="F205" s="24"/>
      <c r="G205" s="24"/>
      <c r="H205" s="24"/>
      <c r="I205" s="24"/>
      <c r="J205" s="24"/>
      <c r="K205" s="24"/>
    </row>
    <row r="206" spans="2:11" ht="15">
      <c r="B206" s="24"/>
      <c r="C206" s="24"/>
      <c r="D206" s="24"/>
      <c r="E206" s="24"/>
      <c r="F206" s="45" t="s">
        <v>175</v>
      </c>
      <c r="G206" s="45"/>
      <c r="H206" s="45"/>
      <c r="I206" s="45"/>
      <c r="J206" s="24"/>
      <c r="K206" s="24"/>
    </row>
    <row r="207" spans="2:11" ht="15">
      <c r="B207" s="24"/>
      <c r="C207" s="24"/>
      <c r="D207" s="24"/>
      <c r="E207" s="24"/>
      <c r="F207" s="24" t="s">
        <v>176</v>
      </c>
      <c r="G207" s="24"/>
      <c r="H207" s="24"/>
      <c r="I207" s="24"/>
      <c r="J207" s="24"/>
      <c r="K207" s="24"/>
    </row>
    <row r="208" spans="2:11" ht="15">
      <c r="B208" s="24"/>
      <c r="C208" s="24"/>
      <c r="D208" s="24"/>
      <c r="E208" s="24"/>
      <c r="F208" s="24" t="s">
        <v>177</v>
      </c>
      <c r="G208" s="24"/>
      <c r="H208" s="24"/>
      <c r="I208" s="24"/>
      <c r="J208" s="24"/>
      <c r="K208" s="24"/>
    </row>
    <row r="209" spans="2:11" ht="15">
      <c r="B209" s="24"/>
      <c r="C209" s="24"/>
      <c r="D209" s="24"/>
      <c r="E209" s="24"/>
      <c r="F209" s="57"/>
      <c r="G209" s="24"/>
      <c r="H209" s="24"/>
      <c r="I209" s="24"/>
      <c r="J209" s="24"/>
      <c r="K209" s="24"/>
    </row>
    <row r="210" spans="2:11" ht="15">
      <c r="B210" s="24"/>
      <c r="C210" s="24"/>
      <c r="D210" s="24"/>
      <c r="E210" s="24"/>
      <c r="F210" s="24" t="s">
        <v>178</v>
      </c>
      <c r="G210" s="24"/>
      <c r="H210" s="24"/>
      <c r="I210" s="24"/>
      <c r="J210" s="24"/>
      <c r="K210" s="24"/>
    </row>
    <row r="211" spans="2:11" ht="15">
      <c r="B211" s="24"/>
      <c r="C211" s="24"/>
      <c r="D211" s="24"/>
      <c r="E211" s="24"/>
      <c r="F211" s="24"/>
      <c r="G211" s="24"/>
      <c r="H211" s="24"/>
      <c r="I211" s="24"/>
      <c r="J211" s="24"/>
      <c r="K211" s="24"/>
    </row>
    <row r="212" spans="2:11" ht="15">
      <c r="B212" s="24"/>
      <c r="C212" s="24"/>
      <c r="D212" s="24"/>
      <c r="E212" s="24"/>
      <c r="F212" s="24"/>
      <c r="G212" s="24"/>
      <c r="H212" s="24"/>
      <c r="I212" s="24"/>
      <c r="J212" s="24"/>
      <c r="K212" s="24"/>
    </row>
    <row r="213" spans="2:11" ht="58.5" customHeight="1">
      <c r="B213" s="24"/>
      <c r="C213" s="24"/>
      <c r="D213" s="24"/>
      <c r="E213" s="24"/>
      <c r="F213" s="264" t="s">
        <v>179</v>
      </c>
      <c r="G213" s="264"/>
      <c r="H213" s="264"/>
      <c r="I213" s="24"/>
      <c r="J213" s="24"/>
      <c r="K213" s="24"/>
    </row>
    <row r="214" spans="2:11" ht="15">
      <c r="B214" s="24"/>
      <c r="C214" s="24"/>
      <c r="D214" s="24"/>
      <c r="E214" s="24"/>
      <c r="F214" s="24"/>
      <c r="G214" s="24"/>
      <c r="H214" s="24"/>
      <c r="I214" s="24"/>
      <c r="J214" s="24"/>
      <c r="K214" s="24"/>
    </row>
    <row r="215" spans="2:11" ht="15">
      <c r="B215" s="24"/>
      <c r="C215" s="24"/>
      <c r="D215" s="24"/>
      <c r="E215" s="24"/>
      <c r="F215" s="24"/>
      <c r="G215" s="24"/>
      <c r="H215" s="24"/>
      <c r="I215" s="24"/>
      <c r="J215" s="24"/>
      <c r="K215" s="24"/>
    </row>
    <row r="216" spans="2:11" ht="118.5" customHeight="1">
      <c r="B216" s="24"/>
      <c r="C216" s="24"/>
      <c r="D216" s="24"/>
      <c r="E216" s="24"/>
      <c r="F216" s="264" t="s">
        <v>180</v>
      </c>
      <c r="G216" s="264"/>
      <c r="H216" s="264"/>
      <c r="I216" s="24"/>
      <c r="J216" s="24"/>
      <c r="K216" s="24"/>
    </row>
    <row r="217" spans="2:11" ht="15">
      <c r="B217" s="24"/>
      <c r="C217" s="24"/>
      <c r="D217" s="24"/>
      <c r="E217" s="24"/>
      <c r="F217" s="24"/>
      <c r="G217" s="24"/>
      <c r="H217" s="24"/>
      <c r="I217" s="24"/>
      <c r="J217" s="24"/>
      <c r="K217" s="24"/>
    </row>
    <row r="218" spans="2:11" ht="78.75" customHeight="1">
      <c r="B218" s="24"/>
      <c r="C218" s="24"/>
      <c r="D218" s="24"/>
      <c r="E218" s="24"/>
      <c r="F218" s="264" t="s">
        <v>181</v>
      </c>
      <c r="G218" s="264"/>
      <c r="H218" s="264"/>
      <c r="I218" s="24"/>
      <c r="J218" s="24"/>
      <c r="K218" s="24"/>
    </row>
    <row r="219" spans="2:11" ht="15">
      <c r="B219" s="24"/>
      <c r="C219" s="24"/>
      <c r="D219" s="24"/>
      <c r="E219" s="24"/>
      <c r="F219" s="24"/>
      <c r="G219" s="24"/>
      <c r="H219" s="24"/>
      <c r="I219" s="24"/>
      <c r="J219" s="24"/>
      <c r="K219" s="24"/>
    </row>
    <row r="220" spans="2:11" ht="15">
      <c r="B220" s="24"/>
      <c r="C220" s="24"/>
      <c r="D220" s="24"/>
      <c r="E220" s="24"/>
      <c r="F220" s="24"/>
      <c r="G220" s="24"/>
      <c r="H220" s="24"/>
      <c r="I220" s="24"/>
      <c r="J220" s="24"/>
      <c r="K220" s="24"/>
    </row>
    <row r="221" spans="2:11" ht="15">
      <c r="B221" s="24"/>
      <c r="C221" s="24"/>
      <c r="D221" s="24"/>
      <c r="E221" s="24"/>
      <c r="F221" s="24"/>
      <c r="G221" s="24"/>
      <c r="H221" s="24"/>
      <c r="I221" s="24"/>
      <c r="J221" s="24"/>
      <c r="K221" s="24"/>
    </row>
    <row r="222" spans="2:11" ht="123" customHeight="1">
      <c r="B222" s="24"/>
      <c r="C222" s="24"/>
      <c r="D222" s="24"/>
      <c r="E222" s="24"/>
      <c r="F222" s="264" t="s">
        <v>182</v>
      </c>
      <c r="G222" s="264"/>
      <c r="H222" s="264"/>
      <c r="I222" s="24"/>
      <c r="J222" s="24"/>
      <c r="K222" s="24"/>
    </row>
    <row r="223" spans="2:11" ht="15">
      <c r="B223" s="24"/>
      <c r="C223" s="24"/>
      <c r="D223" s="24"/>
      <c r="E223" s="24"/>
      <c r="F223" s="24"/>
      <c r="G223" s="24"/>
      <c r="H223" s="24"/>
      <c r="I223" s="24"/>
      <c r="J223" s="24"/>
      <c r="K223" s="24"/>
    </row>
    <row r="224" spans="2:11" ht="15">
      <c r="B224" s="24"/>
      <c r="C224" s="24"/>
      <c r="D224" s="24"/>
      <c r="E224" s="24"/>
      <c r="F224" s="24"/>
      <c r="G224" s="24"/>
      <c r="H224" s="24"/>
      <c r="I224" s="24"/>
      <c r="J224" s="24"/>
      <c r="K224" s="24"/>
    </row>
    <row r="225" spans="2:11" ht="66.75" customHeight="1">
      <c r="B225" s="30" t="s">
        <v>183</v>
      </c>
      <c r="C225" s="54" t="s">
        <v>184</v>
      </c>
      <c r="D225" s="54" t="s">
        <v>185</v>
      </c>
      <c r="F225" s="54" t="s">
        <v>186</v>
      </c>
      <c r="G225" s="58" t="s">
        <v>187</v>
      </c>
      <c r="H225" s="59" t="s">
        <v>188</v>
      </c>
      <c r="I225" s="24"/>
      <c r="J225" s="24"/>
      <c r="K225" s="24"/>
    </row>
    <row r="226" spans="2:11" ht="15">
      <c r="B226" s="18" t="s">
        <v>189</v>
      </c>
      <c r="C226" s="18">
        <v>808790000</v>
      </c>
      <c r="D226" s="18">
        <v>255470</v>
      </c>
      <c r="E226" s="18">
        <f>+D226*1000</f>
        <v>255470000</v>
      </c>
      <c r="F226" s="51">
        <f>+E226/C226</f>
        <v>0.31586691230109176</v>
      </c>
      <c r="G226" s="18">
        <v>-532200</v>
      </c>
      <c r="I226" s="43">
        <f>-5*G226/E226</f>
        <v>0.01041609582338435</v>
      </c>
      <c r="J226" s="24"/>
      <c r="K226" s="24"/>
    </row>
    <row r="227" spans="2:11" ht="15">
      <c r="B227" s="18" t="s">
        <v>190</v>
      </c>
      <c r="C227" s="18">
        <v>477698000</v>
      </c>
      <c r="D227" s="18">
        <v>415890</v>
      </c>
      <c r="E227" s="18">
        <f>+D227*1000</f>
        <v>415890000</v>
      </c>
      <c r="F227" s="51">
        <f>+E227/C227</f>
        <v>0.8706128139535857</v>
      </c>
      <c r="G227" s="18">
        <v>-3466000</v>
      </c>
      <c r="I227" s="43">
        <f>-5*G227/E227</f>
        <v>0.04166967226910962</v>
      </c>
      <c r="J227" s="24"/>
      <c r="K227" s="24"/>
    </row>
    <row r="228" spans="2:11" ht="15">
      <c r="B228" s="18" t="s">
        <v>191</v>
      </c>
      <c r="C228" s="18">
        <v>310134000</v>
      </c>
      <c r="D228" s="18">
        <v>165424</v>
      </c>
      <c r="E228" s="18">
        <f>+D228*1000</f>
        <v>165424000</v>
      </c>
      <c r="F228" s="51">
        <f>+E228/C228</f>
        <v>0.5333952420566593</v>
      </c>
      <c r="G228" s="24"/>
      <c r="H228" s="24"/>
      <c r="I228" s="43">
        <f>-5*G228/E228</f>
        <v>0</v>
      </c>
      <c r="J228" s="24"/>
      <c r="K228" s="24"/>
    </row>
    <row r="229" spans="2:11" ht="15">
      <c r="B229" s="18" t="s">
        <v>192</v>
      </c>
      <c r="C229" s="18">
        <v>303089000</v>
      </c>
      <c r="D229" s="18">
        <v>104182</v>
      </c>
      <c r="E229" s="18">
        <f>+D229*1000</f>
        <v>104182000</v>
      </c>
      <c r="F229" s="51">
        <f>+E229/C229</f>
        <v>0.3437340187205738</v>
      </c>
      <c r="G229" s="18">
        <v>-215200</v>
      </c>
      <c r="I229" s="43">
        <f>-5*G229/E229</f>
        <v>0.010328079706667178</v>
      </c>
      <c r="J229" s="24"/>
      <c r="K229" s="24"/>
    </row>
    <row r="230" spans="2:11" ht="15">
      <c r="B230" s="18" t="s">
        <v>193</v>
      </c>
      <c r="C230" s="18">
        <v>197290000</v>
      </c>
      <c r="D230" s="24"/>
      <c r="E230" s="24"/>
      <c r="F230" s="51"/>
      <c r="G230" s="24"/>
      <c r="H230" s="24"/>
      <c r="I230" s="24"/>
      <c r="J230" s="24"/>
      <c r="K230" s="24"/>
    </row>
    <row r="231" spans="2:11" ht="15">
      <c r="B231" s="18" t="s">
        <v>194</v>
      </c>
      <c r="C231" s="18">
        <v>163678000</v>
      </c>
      <c r="D231" s="24"/>
      <c r="E231" s="24"/>
      <c r="F231" s="51"/>
      <c r="G231" s="24"/>
      <c r="H231" s="24"/>
      <c r="I231" s="24"/>
      <c r="J231" s="24"/>
      <c r="K231" s="24"/>
    </row>
    <row r="232" spans="2:11" ht="15">
      <c r="B232" s="18" t="s">
        <v>195</v>
      </c>
      <c r="C232" s="18">
        <v>133610000</v>
      </c>
      <c r="D232" s="24"/>
      <c r="E232" s="24"/>
      <c r="F232" s="51"/>
      <c r="G232" s="24"/>
      <c r="H232" s="24"/>
      <c r="I232" s="24"/>
      <c r="J232" s="24"/>
      <c r="K232" s="24"/>
    </row>
    <row r="233" spans="2:11" ht="15">
      <c r="B233" s="18" t="s">
        <v>196</v>
      </c>
      <c r="C233" s="18">
        <v>88495000</v>
      </c>
      <c r="D233" s="18">
        <v>48702</v>
      </c>
      <c r="E233" s="18">
        <f>+D233*1000</f>
        <v>48702000</v>
      </c>
      <c r="F233" s="51">
        <f>+E233/C233</f>
        <v>0.5503361771851517</v>
      </c>
      <c r="G233" s="18">
        <v>-1447800</v>
      </c>
      <c r="H233" s="39">
        <v>0.129</v>
      </c>
      <c r="I233" s="39">
        <f>-5*G233/E233</f>
        <v>0.14863865960330172</v>
      </c>
      <c r="J233" s="24"/>
      <c r="K233" s="24"/>
    </row>
    <row r="234" spans="2:11" ht="15">
      <c r="B234" s="18" t="s">
        <v>197</v>
      </c>
      <c r="C234" s="18">
        <v>68742000</v>
      </c>
      <c r="D234" s="18">
        <v>61065</v>
      </c>
      <c r="E234" s="18">
        <f>+D234*1000</f>
        <v>61065000</v>
      </c>
      <c r="F234" s="51">
        <f>+E234/C234</f>
        <v>0.8883215501440167</v>
      </c>
      <c r="G234" s="18">
        <v>-224600</v>
      </c>
      <c r="H234" s="24"/>
      <c r="I234" s="24"/>
      <c r="J234" s="24"/>
      <c r="K234" s="24"/>
    </row>
    <row r="235" spans="2:11" ht="15">
      <c r="B235" s="18" t="s">
        <v>198</v>
      </c>
      <c r="C235" s="18">
        <v>67701000</v>
      </c>
      <c r="D235" s="24"/>
      <c r="E235" s="24"/>
      <c r="F235" s="51"/>
      <c r="G235" s="24"/>
      <c r="H235" s="24"/>
      <c r="I235" s="24"/>
      <c r="J235" s="24"/>
      <c r="K235" s="24"/>
    </row>
    <row r="236" spans="2:11" ht="15">
      <c r="B236" s="18" t="s">
        <v>199</v>
      </c>
      <c r="C236" s="18">
        <v>67546000</v>
      </c>
      <c r="D236" s="24"/>
      <c r="E236" s="24"/>
      <c r="F236" s="51"/>
      <c r="G236" s="24"/>
      <c r="H236" s="24"/>
      <c r="I236" s="24"/>
      <c r="J236" s="24"/>
      <c r="K236" s="24"/>
    </row>
    <row r="237" spans="2:11" ht="15">
      <c r="B237" s="18" t="s">
        <v>200</v>
      </c>
      <c r="C237" s="18">
        <v>64238000</v>
      </c>
      <c r="D237" s="18">
        <v>32850</v>
      </c>
      <c r="E237" s="18">
        <f>+D237*1000</f>
        <v>32850000</v>
      </c>
      <c r="F237" s="51">
        <f>+E237/C237</f>
        <v>0.511379557271397</v>
      </c>
      <c r="G237" s="18">
        <v>-395000</v>
      </c>
      <c r="H237" s="24"/>
      <c r="I237" s="24"/>
      <c r="J237" s="24"/>
      <c r="K237" s="24"/>
    </row>
    <row r="238" spans="2:11" ht="15">
      <c r="B238" s="18" t="s">
        <v>201</v>
      </c>
      <c r="C238" s="18">
        <v>60728000</v>
      </c>
      <c r="D238" s="18">
        <v>53062</v>
      </c>
      <c r="E238" s="18">
        <f>+D238*1000</f>
        <v>53062000</v>
      </c>
      <c r="F238" s="51">
        <f>+E238/C238</f>
        <v>0.8737649848504808</v>
      </c>
      <c r="G238" s="24"/>
      <c r="H238" s="24"/>
      <c r="I238" s="24"/>
      <c r="J238" s="24"/>
      <c r="K238" s="24"/>
    </row>
    <row r="239" spans="2:11" ht="15">
      <c r="B239" s="18" t="s">
        <v>202</v>
      </c>
      <c r="C239" s="18">
        <v>59104000</v>
      </c>
      <c r="D239" s="24"/>
      <c r="E239" s="24"/>
      <c r="F239" s="51"/>
      <c r="G239" s="24"/>
      <c r="H239" s="24"/>
      <c r="I239" s="24"/>
      <c r="J239" s="24"/>
      <c r="K239" s="24"/>
    </row>
    <row r="240" spans="2:11" ht="15">
      <c r="B240" s="18" t="s">
        <v>203</v>
      </c>
      <c r="C240" s="18">
        <v>58740000</v>
      </c>
      <c r="D240" s="18">
        <v>29360</v>
      </c>
      <c r="E240" s="18">
        <f>+D240*1000</f>
        <v>29360000</v>
      </c>
      <c r="F240" s="51">
        <f>+E240/C240</f>
        <v>0.49982975825672454</v>
      </c>
      <c r="G240" s="18">
        <v>-135200</v>
      </c>
      <c r="H240" s="24"/>
      <c r="I240" s="24"/>
      <c r="J240" s="24"/>
      <c r="K240" s="24"/>
    </row>
    <row r="241" spans="2:11" ht="15">
      <c r="B241" s="18" t="s">
        <v>204</v>
      </c>
      <c r="C241" s="18">
        <v>47713000</v>
      </c>
      <c r="D241" s="24"/>
      <c r="E241" s="24"/>
      <c r="F241" s="51"/>
      <c r="G241" s="24"/>
      <c r="H241" s="24"/>
      <c r="I241" s="24"/>
      <c r="J241" s="24"/>
      <c r="K241" s="24"/>
    </row>
    <row r="242" spans="2:11" ht="15">
      <c r="B242" s="18" t="s">
        <v>205</v>
      </c>
      <c r="C242" s="18">
        <v>42452000</v>
      </c>
      <c r="D242" s="24"/>
      <c r="E242" s="24"/>
      <c r="F242" s="51"/>
      <c r="G242" s="24"/>
      <c r="H242" s="24"/>
      <c r="I242" s="24"/>
      <c r="J242" s="24"/>
      <c r="K242" s="24"/>
    </row>
    <row r="243" spans="2:11" ht="15">
      <c r="B243" s="18" t="s">
        <v>206</v>
      </c>
      <c r="C243" s="18">
        <v>35257000</v>
      </c>
      <c r="D243" s="24"/>
      <c r="E243" s="24"/>
      <c r="F243" s="51"/>
      <c r="G243" s="24"/>
      <c r="H243" s="24"/>
      <c r="I243" s="24"/>
      <c r="J243" s="24"/>
      <c r="K243" s="24"/>
    </row>
    <row r="244" spans="2:11" ht="15">
      <c r="B244" s="18" t="s">
        <v>207</v>
      </c>
      <c r="C244" s="18">
        <v>33021000</v>
      </c>
      <c r="D244" s="24"/>
      <c r="E244" s="24"/>
      <c r="F244" s="51"/>
      <c r="G244" s="24"/>
      <c r="H244" s="24"/>
      <c r="I244" s="24"/>
      <c r="J244" s="24"/>
      <c r="K244" s="24"/>
    </row>
    <row r="245" spans="2:11" ht="15">
      <c r="B245" s="18" t="s">
        <v>208</v>
      </c>
      <c r="C245" s="18">
        <v>32222000</v>
      </c>
      <c r="D245" s="24"/>
      <c r="E245" s="24"/>
      <c r="F245" s="51"/>
      <c r="G245" s="24"/>
      <c r="H245" s="24"/>
      <c r="I245" s="24"/>
      <c r="J245" s="24"/>
      <c r="K245" s="24"/>
    </row>
    <row r="246" spans="2:11" ht="15">
      <c r="B246" s="18" t="s">
        <v>209</v>
      </c>
      <c r="C246" s="18">
        <v>29437000</v>
      </c>
      <c r="D246" s="18">
        <v>25211</v>
      </c>
      <c r="E246" s="18">
        <f aca="true" t="shared" si="2" ref="E246:E251">+D246*1000</f>
        <v>25211000</v>
      </c>
      <c r="F246" s="51">
        <f>+E246/C246</f>
        <v>0.856439175187689</v>
      </c>
      <c r="G246" s="18">
        <v>-250200</v>
      </c>
      <c r="H246" s="24"/>
      <c r="I246" s="24"/>
      <c r="J246" s="24"/>
      <c r="K246" s="24"/>
    </row>
    <row r="247" spans="2:11" ht="15">
      <c r="B247" s="18" t="s">
        <v>210</v>
      </c>
      <c r="D247" s="18">
        <v>14214</v>
      </c>
      <c r="E247" s="18">
        <f t="shared" si="2"/>
        <v>14214000</v>
      </c>
      <c r="F247" s="51"/>
      <c r="G247" s="24"/>
      <c r="H247" s="24"/>
      <c r="I247" s="24"/>
      <c r="J247" s="24"/>
      <c r="K247" s="24"/>
    </row>
    <row r="248" spans="2:11" ht="15">
      <c r="B248" s="18" t="s">
        <v>199</v>
      </c>
      <c r="D248" s="18">
        <v>13509</v>
      </c>
      <c r="E248" s="18">
        <f t="shared" si="2"/>
        <v>13509000</v>
      </c>
      <c r="F248" s="51"/>
      <c r="G248" s="18">
        <v>-117807</v>
      </c>
      <c r="H248" s="24"/>
      <c r="I248" s="24"/>
      <c r="J248" s="24"/>
      <c r="K248" s="24"/>
    </row>
    <row r="249" spans="2:11" ht="15">
      <c r="B249" s="18" t="s">
        <v>211</v>
      </c>
      <c r="D249" s="18">
        <v>10347</v>
      </c>
      <c r="E249" s="18">
        <f t="shared" si="2"/>
        <v>10347000</v>
      </c>
      <c r="F249" s="51"/>
      <c r="G249" s="24"/>
      <c r="H249" s="24"/>
      <c r="I249" s="24"/>
      <c r="J249" s="24"/>
      <c r="K249" s="24"/>
    </row>
    <row r="250" spans="2:11" ht="15">
      <c r="B250" s="18" t="s">
        <v>212</v>
      </c>
      <c r="D250" s="18">
        <v>9314</v>
      </c>
      <c r="E250" s="18">
        <f t="shared" si="2"/>
        <v>9314000</v>
      </c>
      <c r="F250" s="51"/>
      <c r="G250" s="24"/>
      <c r="H250" s="24"/>
      <c r="I250" s="24"/>
      <c r="J250" s="24"/>
      <c r="K250" s="24"/>
    </row>
    <row r="251" spans="2:11" ht="15">
      <c r="B251" s="18" t="s">
        <v>213</v>
      </c>
      <c r="D251" s="18">
        <v>7701</v>
      </c>
      <c r="E251" s="18">
        <f t="shared" si="2"/>
        <v>7701000</v>
      </c>
      <c r="F251" s="51"/>
      <c r="G251" s="24"/>
      <c r="H251" s="24"/>
      <c r="I251" s="24"/>
      <c r="J251" s="24"/>
      <c r="K251" s="24"/>
    </row>
    <row r="252" spans="2:11" ht="15">
      <c r="B252" s="18" t="s">
        <v>214</v>
      </c>
      <c r="C252" s="18">
        <v>22755000</v>
      </c>
      <c r="D252" s="24"/>
      <c r="E252" s="24"/>
      <c r="F252" s="51"/>
      <c r="G252" s="24"/>
      <c r="H252" s="24"/>
      <c r="I252" s="24"/>
      <c r="J252" s="24"/>
      <c r="K252" s="24"/>
    </row>
    <row r="253" spans="2:11" ht="15">
      <c r="B253" s="18" t="s">
        <v>215</v>
      </c>
      <c r="C253" s="18">
        <v>22471000</v>
      </c>
      <c r="D253" s="18">
        <v>7464</v>
      </c>
      <c r="E253" s="18">
        <f>+D253*1000</f>
        <v>7464000</v>
      </c>
      <c r="F253" s="51">
        <f>+E253/C253</f>
        <v>0.33216145253882784</v>
      </c>
      <c r="G253" s="24"/>
      <c r="H253" s="24"/>
      <c r="I253" s="24"/>
      <c r="J253" s="24"/>
      <c r="K253" s="24"/>
    </row>
    <row r="254" spans="2:11" ht="15">
      <c r="B254" s="18" t="s">
        <v>216</v>
      </c>
      <c r="D254" s="18">
        <v>6451</v>
      </c>
      <c r="E254" s="18">
        <f>+D254*1000</f>
        <v>6451000</v>
      </c>
      <c r="F254" s="51"/>
      <c r="G254" s="24"/>
      <c r="H254" s="24"/>
      <c r="I254" s="24"/>
      <c r="J254" s="24"/>
      <c r="K254" s="24"/>
    </row>
    <row r="255" spans="2:11" ht="15">
      <c r="B255" s="18" t="s">
        <v>217</v>
      </c>
      <c r="D255" s="18">
        <v>4794</v>
      </c>
      <c r="E255" s="18">
        <f>+D255*1000</f>
        <v>4794000</v>
      </c>
      <c r="F255" s="51"/>
      <c r="G255" s="24"/>
      <c r="H255" s="24"/>
      <c r="I255" s="24"/>
      <c r="J255" s="24"/>
      <c r="K255" s="24"/>
    </row>
    <row r="256" spans="2:11" ht="15">
      <c r="B256" s="18" t="s">
        <v>218</v>
      </c>
      <c r="C256" s="18">
        <v>21775000</v>
      </c>
      <c r="D256" s="24"/>
      <c r="E256" s="24"/>
      <c r="F256" s="24"/>
      <c r="G256" s="24"/>
      <c r="H256" s="24"/>
      <c r="I256" s="24"/>
      <c r="J256" s="24"/>
      <c r="K256" s="24"/>
    </row>
    <row r="257" spans="2:11" ht="15">
      <c r="B257" s="18" t="s">
        <v>219</v>
      </c>
      <c r="C257" s="18">
        <v>21245000</v>
      </c>
      <c r="D257" s="24"/>
      <c r="E257" s="24"/>
      <c r="F257" s="24"/>
      <c r="G257" s="24"/>
      <c r="H257" s="24"/>
      <c r="I257" s="24"/>
      <c r="J257" s="24"/>
      <c r="K257" s="24"/>
    </row>
    <row r="258" spans="2:11" ht="15">
      <c r="B258" s="18" t="s">
        <v>220</v>
      </c>
      <c r="C258" s="18">
        <v>20890000</v>
      </c>
      <c r="D258" s="24"/>
      <c r="E258" s="24"/>
      <c r="F258" s="24"/>
      <c r="G258" s="24"/>
      <c r="H258" s="24"/>
      <c r="I258" s="24"/>
      <c r="J258" s="24"/>
      <c r="K258" s="24"/>
    </row>
    <row r="259" spans="2:11" ht="15">
      <c r="B259" s="18" t="s">
        <v>221</v>
      </c>
      <c r="C259" s="24"/>
      <c r="D259" s="24"/>
      <c r="E259" s="24"/>
      <c r="F259" s="24"/>
      <c r="G259" s="18">
        <v>-82000</v>
      </c>
      <c r="H259" s="39">
        <v>0.557</v>
      </c>
      <c r="I259" s="24"/>
      <c r="J259" s="24"/>
      <c r="K259" s="24"/>
    </row>
    <row r="260" spans="2:11" ht="15">
      <c r="B260" s="18" t="s">
        <v>222</v>
      </c>
      <c r="C260" s="24"/>
      <c r="D260" s="24"/>
      <c r="E260" s="24"/>
      <c r="F260" s="24"/>
      <c r="G260" s="24"/>
      <c r="H260" s="39">
        <v>0.545</v>
      </c>
      <c r="I260" s="24"/>
      <c r="J260" s="24"/>
      <c r="K260" s="24"/>
    </row>
    <row r="261" spans="2:11" ht="15">
      <c r="B261" s="18" t="s">
        <v>223</v>
      </c>
      <c r="C261" s="24"/>
      <c r="D261" s="24"/>
      <c r="E261" s="24"/>
      <c r="F261" s="24"/>
      <c r="G261" s="24"/>
      <c r="H261" s="39">
        <v>0.294</v>
      </c>
      <c r="I261" s="24"/>
      <c r="J261" s="24"/>
      <c r="K261" s="24"/>
    </row>
    <row r="262" spans="2:11" ht="15">
      <c r="B262" s="18" t="s">
        <v>224</v>
      </c>
      <c r="C262" s="24"/>
      <c r="D262" s="24"/>
      <c r="E262" s="24"/>
      <c r="F262" s="24"/>
      <c r="G262" s="24"/>
      <c r="H262" s="39">
        <v>0.152</v>
      </c>
      <c r="I262" s="24"/>
      <c r="J262" s="24"/>
      <c r="K262" s="24"/>
    </row>
    <row r="263" spans="2:11" ht="15">
      <c r="B263" s="18" t="s">
        <v>225</v>
      </c>
      <c r="C263" s="24"/>
      <c r="D263" s="24"/>
      <c r="E263" s="24"/>
      <c r="F263" s="24"/>
      <c r="G263" s="24"/>
      <c r="H263" s="39">
        <v>0.149</v>
      </c>
      <c r="I263" s="24"/>
      <c r="J263" s="24"/>
      <c r="K263" s="24"/>
    </row>
    <row r="264" spans="2:11" ht="15">
      <c r="B264" s="24"/>
      <c r="C264" s="24"/>
      <c r="D264" s="24"/>
      <c r="E264" s="24"/>
      <c r="F264" s="24"/>
      <c r="G264" s="24"/>
      <c r="H264" s="24"/>
      <c r="I264" s="24"/>
      <c r="J264" s="24"/>
      <c r="K264" s="24"/>
    </row>
    <row r="265" spans="2:11" ht="15">
      <c r="B265" s="18" t="s">
        <v>226</v>
      </c>
      <c r="C265" s="24"/>
      <c r="D265" s="24"/>
      <c r="E265" s="24"/>
      <c r="F265" s="24"/>
      <c r="G265" s="24"/>
      <c r="H265" s="39">
        <v>0.093</v>
      </c>
      <c r="I265" s="24"/>
      <c r="J265" s="24"/>
      <c r="K265" s="24"/>
    </row>
    <row r="266" spans="2:11" ht="15">
      <c r="B266" s="18" t="s">
        <v>227</v>
      </c>
      <c r="C266" s="24"/>
      <c r="D266" s="24"/>
      <c r="E266" s="24"/>
      <c r="F266" s="24"/>
      <c r="G266" s="24"/>
      <c r="H266" s="39">
        <v>0.091</v>
      </c>
      <c r="I266" s="24"/>
      <c r="J266" s="24"/>
      <c r="K266" s="24"/>
    </row>
    <row r="267" spans="2:11" ht="15">
      <c r="B267" s="18" t="s">
        <v>228</v>
      </c>
      <c r="C267" s="24"/>
      <c r="D267" s="24"/>
      <c r="E267" s="24"/>
      <c r="F267" s="24"/>
      <c r="G267" s="24"/>
      <c r="H267" s="39">
        <v>0.067</v>
      </c>
      <c r="I267" s="24"/>
      <c r="J267" s="24"/>
      <c r="K267" s="24"/>
    </row>
    <row r="268" spans="2:11" ht="15">
      <c r="B268" s="18" t="s">
        <v>229</v>
      </c>
      <c r="C268" s="24"/>
      <c r="D268" s="24"/>
      <c r="E268" s="24"/>
      <c r="F268" s="24"/>
      <c r="G268" s="24"/>
      <c r="H268" s="39">
        <v>0.064</v>
      </c>
      <c r="I268" s="24"/>
      <c r="J268" s="24"/>
      <c r="K268" s="24"/>
    </row>
    <row r="269" spans="2:11" ht="15">
      <c r="B269" s="24"/>
      <c r="C269" s="24"/>
      <c r="D269" s="24"/>
      <c r="E269" s="24"/>
      <c r="F269" s="39"/>
      <c r="G269" s="24"/>
      <c r="H269" s="24"/>
      <c r="I269" s="24"/>
      <c r="J269" s="24"/>
      <c r="K269" s="24"/>
    </row>
    <row r="270" spans="2:11" ht="15">
      <c r="B270" s="46" t="s">
        <v>230</v>
      </c>
      <c r="C270" s="24"/>
      <c r="D270" s="24"/>
      <c r="E270" s="24"/>
      <c r="F270" s="24"/>
      <c r="G270" s="24"/>
      <c r="H270" s="39"/>
      <c r="I270" s="24"/>
      <c r="J270" s="24"/>
      <c r="K270" s="24"/>
    </row>
    <row r="271" spans="2:11" ht="15">
      <c r="B271" s="24" t="s">
        <v>231</v>
      </c>
      <c r="C271" s="24"/>
      <c r="D271" s="24"/>
      <c r="E271" s="24"/>
      <c r="F271" s="24"/>
      <c r="G271" s="24"/>
      <c r="H271" s="24"/>
      <c r="I271" s="24"/>
      <c r="J271" s="24"/>
      <c r="K271" s="24"/>
    </row>
    <row r="272" spans="2:11" ht="15">
      <c r="B272" s="24"/>
      <c r="C272" s="24"/>
      <c r="D272" s="24"/>
      <c r="E272" s="24"/>
      <c r="F272" s="24"/>
      <c r="G272" s="24"/>
      <c r="H272" s="24"/>
      <c r="I272" s="24"/>
      <c r="J272" s="24"/>
      <c r="K272" s="24"/>
    </row>
    <row r="273" spans="2:11" ht="15">
      <c r="B273" s="24" t="s">
        <v>232</v>
      </c>
      <c r="C273" s="24"/>
      <c r="D273" s="24"/>
      <c r="E273" s="24"/>
      <c r="F273" s="24"/>
      <c r="G273" s="24"/>
      <c r="H273" s="24"/>
      <c r="I273" s="24"/>
      <c r="J273" s="24"/>
      <c r="K273" s="24"/>
    </row>
    <row r="274" spans="2:11" ht="15">
      <c r="B274" s="24" t="s">
        <v>233</v>
      </c>
      <c r="C274" s="24"/>
      <c r="D274" s="24"/>
      <c r="E274" s="24"/>
      <c r="F274" s="24"/>
      <c r="G274" s="24"/>
      <c r="H274" s="24"/>
      <c r="I274" s="24"/>
      <c r="J274" s="24"/>
      <c r="K274" s="24"/>
    </row>
    <row r="275" spans="2:10" ht="15">
      <c r="B275" s="24" t="s">
        <v>234</v>
      </c>
      <c r="C275" s="24"/>
      <c r="D275" s="24"/>
      <c r="E275" s="24"/>
      <c r="F275" s="24"/>
      <c r="G275" s="24"/>
      <c r="H275" s="24"/>
      <c r="I275" s="24"/>
      <c r="J275" s="24"/>
    </row>
    <row r="276" spans="2:11" ht="15">
      <c r="B276" s="24"/>
      <c r="C276" s="24"/>
      <c r="D276" s="24"/>
      <c r="E276" s="24"/>
      <c r="F276" s="24"/>
      <c r="G276" s="24"/>
      <c r="H276" s="24"/>
      <c r="I276" s="24"/>
      <c r="J276" s="24"/>
      <c r="K276" s="24"/>
    </row>
    <row r="277" spans="2:11" ht="15">
      <c r="B277" s="24" t="s">
        <v>235</v>
      </c>
      <c r="C277" s="24"/>
      <c r="D277" s="24"/>
      <c r="E277" s="24"/>
      <c r="F277" s="24"/>
      <c r="G277" s="24"/>
      <c r="H277" s="24"/>
      <c r="I277" s="24"/>
      <c r="J277" s="24"/>
      <c r="K277" s="24"/>
    </row>
    <row r="278" spans="2:11" ht="15">
      <c r="B278" s="24" t="s">
        <v>236</v>
      </c>
      <c r="C278" s="24"/>
      <c r="D278" s="24"/>
      <c r="E278" s="24"/>
      <c r="F278" s="24"/>
      <c r="G278" s="24"/>
      <c r="H278" s="24"/>
      <c r="I278" s="24"/>
      <c r="J278" s="24"/>
      <c r="K278" s="24"/>
    </row>
    <row r="279" spans="2:11" ht="15">
      <c r="B279" s="24"/>
      <c r="C279" s="24"/>
      <c r="D279" s="24"/>
      <c r="E279" s="24"/>
      <c r="F279" s="24"/>
      <c r="G279" s="24"/>
      <c r="H279" s="24"/>
      <c r="I279" s="24"/>
      <c r="J279" s="24"/>
      <c r="K279" s="24"/>
    </row>
    <row r="280" spans="2:11" ht="54" customHeight="1">
      <c r="B280" s="264" t="s">
        <v>237</v>
      </c>
      <c r="C280" s="264"/>
      <c r="D280" s="264"/>
      <c r="E280" s="264"/>
      <c r="F280" s="264"/>
      <c r="G280" s="264"/>
      <c r="H280" s="24"/>
      <c r="I280" s="24"/>
      <c r="J280" s="24"/>
      <c r="K280" s="24"/>
    </row>
    <row r="281" spans="2:11" ht="15">
      <c r="B281" s="24"/>
      <c r="C281" s="24"/>
      <c r="D281" s="24"/>
      <c r="E281" s="24"/>
      <c r="F281" s="24"/>
      <c r="G281" s="24"/>
      <c r="H281" s="24"/>
      <c r="I281" s="24"/>
      <c r="J281" s="24"/>
      <c r="K281" s="24"/>
    </row>
    <row r="282" spans="2:11" ht="15">
      <c r="B282" s="24"/>
      <c r="C282" s="24"/>
      <c r="D282" s="24"/>
      <c r="E282" s="24"/>
      <c r="F282" s="24"/>
      <c r="G282" s="24"/>
      <c r="H282" s="24"/>
      <c r="I282" s="24"/>
      <c r="J282" s="24"/>
      <c r="K282" s="24"/>
    </row>
    <row r="283" spans="2:11" ht="15">
      <c r="B283" s="45" t="s">
        <v>238</v>
      </c>
      <c r="C283" s="45"/>
      <c r="D283" s="45"/>
      <c r="E283" s="45"/>
      <c r="F283" s="24"/>
      <c r="G283" s="24"/>
      <c r="H283" s="24"/>
      <c r="I283" s="24"/>
      <c r="J283" s="24"/>
      <c r="K283" s="24"/>
    </row>
    <row r="284" spans="2:11" ht="15">
      <c r="B284" s="24"/>
      <c r="C284" s="24"/>
      <c r="D284" s="24"/>
      <c r="E284" s="24"/>
      <c r="F284" s="24"/>
      <c r="G284" s="24"/>
      <c r="H284" s="24"/>
      <c r="I284" s="24"/>
      <c r="J284" s="24"/>
      <c r="K284" s="24"/>
    </row>
    <row r="285" spans="2:11" ht="15.75" thickBot="1">
      <c r="B285" s="60"/>
      <c r="C285" s="60"/>
      <c r="D285" s="60"/>
      <c r="E285" s="60"/>
      <c r="F285" s="60"/>
      <c r="G285" s="60"/>
      <c r="H285" s="60"/>
      <c r="I285" s="24"/>
      <c r="J285" s="24"/>
      <c r="K285" s="24"/>
    </row>
  </sheetData>
  <mergeCells count="10">
    <mergeCell ref="J3:K3"/>
    <mergeCell ref="C7:D7"/>
    <mergeCell ref="E7:F7"/>
    <mergeCell ref="C153:G153"/>
    <mergeCell ref="F222:H222"/>
    <mergeCell ref="B280:G280"/>
    <mergeCell ref="C155:G155"/>
    <mergeCell ref="F213:H213"/>
    <mergeCell ref="F216:H216"/>
    <mergeCell ref="F218:H218"/>
  </mergeCells>
  <hyperlinks>
    <hyperlink ref="C48" r:id="rId1" display="http://en.wikipedia.org/wiki/Agriculture"/>
    <hyperlink ref="C84" r:id="rId2" display="http://en.wikipedia.org/wiki/Agriculture_in_the_United_States"/>
    <hyperlink ref="C118" r:id="rId3" display="http://en.wikipedia.org/wiki/Economy_of_the_United_States"/>
    <hyperlink ref="C152" r:id="rId4" display="http://www.ers.usda.gov/AmberWaves/April06/Features/Ethanol.htm"/>
    <hyperlink ref="C159" r:id="rId5" display="http://www.faorap-apcas.org/srilanka/index.htm"/>
    <hyperlink ref="B179" r:id="rId6" display="http://www.ers.usda.gov/statefacts/CA.HTM"/>
    <hyperlink ref="F206" r:id="rId7" display="http://news.mongabay.com/2005/1115-forests.html"/>
    <hyperlink ref="B270" r:id="rId8" display="forestinformation.html"/>
    <hyperlink ref="B283" r:id="rId9" display="http://globalforestwatch.org/english/index.htm"/>
  </hyperlinks>
  <printOptions/>
  <pageMargins left="0.75" right="0.75" top="1" bottom="1" header="0.5" footer="0.5"/>
  <pageSetup fitToHeight="3" fitToWidth="1" orientation="portrait" scale="40" r:id="rId10"/>
</worksheet>
</file>

<file path=xl/worksheets/sheet3.xml><?xml version="1.0" encoding="utf-8"?>
<worksheet xmlns="http://schemas.openxmlformats.org/spreadsheetml/2006/main" xmlns:r="http://schemas.openxmlformats.org/officeDocument/2006/relationships">
  <sheetPr>
    <tabColor indexed="43"/>
  </sheetPr>
  <dimension ref="A1:D35"/>
  <sheetViews>
    <sheetView workbookViewId="0" topLeftCell="A1">
      <selection activeCell="A1" sqref="A1"/>
    </sheetView>
  </sheetViews>
  <sheetFormatPr defaultColWidth="9.00390625" defaultRowHeight="12.75"/>
  <cols>
    <col min="1" max="1" width="6.00390625" style="62" customWidth="1"/>
    <col min="2" max="2" width="29.50390625" style="61" customWidth="1"/>
    <col min="3" max="3" width="15.875" style="63" customWidth="1"/>
    <col min="4" max="4" width="24.25390625" style="61" customWidth="1"/>
    <col min="5" max="16384" width="10.75390625" style="61" customWidth="1"/>
  </cols>
  <sheetData>
    <row r="1" spans="1:4" ht="15">
      <c r="A1" s="64"/>
      <c r="B1" s="65"/>
      <c r="C1" s="68"/>
      <c r="D1" s="69"/>
    </row>
    <row r="2" spans="1:4" ht="15.75">
      <c r="A2" s="70"/>
      <c r="B2" s="271" t="s">
        <v>239</v>
      </c>
      <c r="C2" s="271"/>
      <c r="D2" s="272"/>
    </row>
    <row r="3" spans="1:4" ht="15.75">
      <c r="A3" s="70"/>
      <c r="B3" s="71"/>
      <c r="C3" s="19"/>
      <c r="D3" s="72"/>
    </row>
    <row r="4" spans="1:4" ht="15.75">
      <c r="A4" s="70"/>
      <c r="B4" s="71" t="s">
        <v>240</v>
      </c>
      <c r="C4" s="19"/>
      <c r="D4" s="72"/>
    </row>
    <row r="5" spans="1:4" ht="15">
      <c r="A5" s="70" t="s">
        <v>241</v>
      </c>
      <c r="B5" s="73">
        <f>1750*10^9</f>
        <v>1750000000000</v>
      </c>
      <c r="C5" s="19" t="s">
        <v>242</v>
      </c>
      <c r="D5" s="72" t="s">
        <v>243</v>
      </c>
    </row>
    <row r="6" spans="1:4" ht="15">
      <c r="A6" s="70" t="s">
        <v>244</v>
      </c>
      <c r="B6" s="74">
        <f>5.8*10^6</f>
        <v>5800000</v>
      </c>
      <c r="C6" s="75" t="s">
        <v>245</v>
      </c>
      <c r="D6" s="72" t="s">
        <v>246</v>
      </c>
    </row>
    <row r="7" spans="1:4" ht="15">
      <c r="A7" s="70" t="s">
        <v>247</v>
      </c>
      <c r="B7" s="73">
        <f>+B6*B5</f>
        <v>1.015E+19</v>
      </c>
      <c r="C7" s="19" t="s">
        <v>248</v>
      </c>
      <c r="D7" s="72"/>
    </row>
    <row r="8" spans="1:4" ht="15">
      <c r="A8" s="70"/>
      <c r="B8" s="73"/>
      <c r="C8" s="19"/>
      <c r="D8" s="72"/>
    </row>
    <row r="9" spans="1:4" ht="15">
      <c r="A9" s="70"/>
      <c r="B9" s="73"/>
      <c r="C9" s="19"/>
      <c r="D9" s="72"/>
    </row>
    <row r="10" spans="1:4" ht="15.75">
      <c r="A10" s="70"/>
      <c r="B10" s="273" t="s">
        <v>249</v>
      </c>
      <c r="C10" s="273"/>
      <c r="D10" s="72"/>
    </row>
    <row r="11" spans="1:4" ht="15">
      <c r="A11" s="70"/>
      <c r="B11" s="73">
        <f>(7918/2)^2*3.14159</f>
        <v>49240279.49279</v>
      </c>
      <c r="C11" s="19" t="s">
        <v>29</v>
      </c>
      <c r="D11" s="72" t="s">
        <v>250</v>
      </c>
    </row>
    <row r="12" spans="1:4" ht="15">
      <c r="A12" s="70" t="s">
        <v>244</v>
      </c>
      <c r="B12" s="73">
        <f>5280^2</f>
        <v>27878400</v>
      </c>
      <c r="C12" s="19" t="s">
        <v>251</v>
      </c>
      <c r="D12" s="72"/>
    </row>
    <row r="13" spans="1:4" ht="15">
      <c r="A13" s="70" t="s">
        <v>244</v>
      </c>
      <c r="B13" s="73">
        <f>445</f>
        <v>445</v>
      </c>
      <c r="C13" s="19" t="s">
        <v>252</v>
      </c>
      <c r="D13" s="72" t="s">
        <v>253</v>
      </c>
    </row>
    <row r="14" spans="1:4" ht="15">
      <c r="A14" s="70" t="s">
        <v>244</v>
      </c>
      <c r="B14" s="74">
        <f>24</f>
        <v>24</v>
      </c>
      <c r="C14" s="75" t="s">
        <v>254</v>
      </c>
      <c r="D14" s="72"/>
    </row>
    <row r="15" spans="1:4" ht="15">
      <c r="A15" s="70" t="s">
        <v>247</v>
      </c>
      <c r="B15" s="73">
        <f>+B11*B12*B14*B13</f>
        <v>1.4660865419429988E+19</v>
      </c>
      <c r="C15" s="19" t="s">
        <v>255</v>
      </c>
      <c r="D15" s="72"/>
    </row>
    <row r="16" spans="1:4" ht="15">
      <c r="A16" s="70"/>
      <c r="B16" s="73">
        <f>+B15/10^12</f>
        <v>14660865.419429988</v>
      </c>
      <c r="C16" s="19" t="s">
        <v>256</v>
      </c>
      <c r="D16" s="72"/>
    </row>
    <row r="17" spans="1:4" ht="15">
      <c r="A17" s="70"/>
      <c r="C17" s="19"/>
      <c r="D17" s="72"/>
    </row>
    <row r="18" spans="1:4" ht="15">
      <c r="A18" s="70"/>
      <c r="C18" s="19"/>
      <c r="D18" s="72"/>
    </row>
    <row r="19" spans="1:4" ht="15">
      <c r="A19" s="70"/>
      <c r="B19" s="76">
        <f>B15/B7</f>
        <v>1.4444202383674865</v>
      </c>
      <c r="C19" s="25" t="s">
        <v>257</v>
      </c>
      <c r="D19" s="77"/>
    </row>
    <row r="20" spans="1:4" ht="15">
      <c r="A20" s="70"/>
      <c r="C20" s="19"/>
      <c r="D20" s="72"/>
    </row>
    <row r="21" spans="1:4" ht="15">
      <c r="A21" s="70"/>
      <c r="B21" s="18">
        <v>400</v>
      </c>
      <c r="C21" s="25" t="s">
        <v>258</v>
      </c>
      <c r="D21" s="77"/>
    </row>
    <row r="22" spans="1:4" ht="15">
      <c r="A22" s="70"/>
      <c r="C22" s="19"/>
      <c r="D22" s="72"/>
    </row>
    <row r="23" spans="1:4" ht="15">
      <c r="A23" s="70"/>
      <c r="B23" s="18">
        <f>+B16/B21</f>
        <v>36652.16354857497</v>
      </c>
      <c r="C23" s="25" t="s">
        <v>259</v>
      </c>
      <c r="D23" s="77"/>
    </row>
    <row r="24" spans="1:4" ht="15">
      <c r="A24" s="70"/>
      <c r="C24" s="19"/>
      <c r="D24" s="72"/>
    </row>
    <row r="25" spans="1:4" ht="15.75">
      <c r="A25" s="70"/>
      <c r="B25" s="78" t="s">
        <v>260</v>
      </c>
      <c r="C25" s="79"/>
      <c r="D25" s="72"/>
    </row>
    <row r="26" spans="1:4" ht="15">
      <c r="A26" s="70"/>
      <c r="C26" s="19"/>
      <c r="D26" s="72"/>
    </row>
    <row r="27" spans="1:4" ht="15">
      <c r="A27" s="70" t="s">
        <v>241</v>
      </c>
      <c r="B27" s="18">
        <v>13</v>
      </c>
      <c r="C27" s="25" t="s">
        <v>261</v>
      </c>
      <c r="D27" s="77"/>
    </row>
    <row r="28" spans="1:4" ht="15">
      <c r="A28" s="70" t="s">
        <v>244</v>
      </c>
      <c r="B28" s="30">
        <v>8760</v>
      </c>
      <c r="C28" s="19" t="s">
        <v>262</v>
      </c>
      <c r="D28" s="72"/>
    </row>
    <row r="29" spans="1:4" ht="15">
      <c r="A29" s="70" t="s">
        <v>247</v>
      </c>
      <c r="B29" s="18">
        <f>+B28*B27</f>
        <v>113880</v>
      </c>
      <c r="C29" s="19" t="s">
        <v>263</v>
      </c>
      <c r="D29" s="72"/>
    </row>
    <row r="30" spans="1:4" ht="15">
      <c r="A30" s="70" t="s">
        <v>264</v>
      </c>
      <c r="B30" s="30">
        <v>1000</v>
      </c>
      <c r="C30" s="19" t="s">
        <v>265</v>
      </c>
      <c r="D30" s="72" t="s">
        <v>266</v>
      </c>
    </row>
    <row r="31" spans="1:4" ht="15">
      <c r="A31" s="70" t="s">
        <v>247</v>
      </c>
      <c r="B31" s="18">
        <f>+B29/B30</f>
        <v>113.88</v>
      </c>
      <c r="C31" s="25" t="s">
        <v>267</v>
      </c>
      <c r="D31" s="77"/>
    </row>
    <row r="32" spans="1:4" ht="15">
      <c r="A32" s="70" t="s">
        <v>244</v>
      </c>
      <c r="B32" s="80">
        <v>3.413</v>
      </c>
      <c r="C32" s="19" t="s">
        <v>268</v>
      </c>
      <c r="D32" s="72" t="s">
        <v>266</v>
      </c>
    </row>
    <row r="33" spans="1:4" ht="15">
      <c r="A33" s="70" t="s">
        <v>247</v>
      </c>
      <c r="B33" s="81">
        <f>+B31*B32</f>
        <v>388.67243999999994</v>
      </c>
      <c r="C33" s="19" t="s">
        <v>269</v>
      </c>
      <c r="D33" s="72" t="s">
        <v>270</v>
      </c>
    </row>
    <row r="34" spans="1:4" ht="15">
      <c r="A34" s="70"/>
      <c r="C34" s="19"/>
      <c r="D34" s="72"/>
    </row>
    <row r="35" spans="1:4" ht="15">
      <c r="A35" s="82"/>
      <c r="B35" s="83"/>
      <c r="C35" s="84"/>
      <c r="D35" s="85"/>
    </row>
  </sheetData>
  <mergeCells count="2">
    <mergeCell ref="B2:D2"/>
    <mergeCell ref="B10:C10"/>
  </mergeCell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E37"/>
  <sheetViews>
    <sheetView workbookViewId="0" topLeftCell="A1">
      <selection activeCell="B2" sqref="B2:D2"/>
    </sheetView>
  </sheetViews>
  <sheetFormatPr defaultColWidth="9.00390625" defaultRowHeight="12.75"/>
  <cols>
    <col min="1" max="1" width="3.00390625" style="0" customWidth="1"/>
    <col min="2" max="2" width="12.00390625" style="0" customWidth="1"/>
    <col min="3" max="3" width="28.25390625" style="0" customWidth="1"/>
    <col min="4" max="4" width="40.00390625" style="86" customWidth="1"/>
    <col min="5" max="5" width="2.50390625" style="0" customWidth="1"/>
    <col min="6" max="16384" width="12.00390625" style="0" customWidth="1"/>
  </cols>
  <sheetData>
    <row r="1" spans="1:5" ht="12.75">
      <c r="A1" s="87"/>
      <c r="B1" s="88"/>
      <c r="C1" s="88"/>
      <c r="D1" s="89"/>
      <c r="E1" s="90"/>
    </row>
    <row r="2" spans="1:5" ht="12.75">
      <c r="A2" s="91"/>
      <c r="B2" s="124" t="s">
        <v>11</v>
      </c>
      <c r="C2" s="124"/>
      <c r="D2" s="124"/>
      <c r="E2" s="92"/>
    </row>
    <row r="3" spans="1:5" ht="12.75">
      <c r="A3" s="91"/>
      <c r="B3" s="93"/>
      <c r="C3" s="93"/>
      <c r="D3" s="94"/>
      <c r="E3" s="92"/>
    </row>
    <row r="4" spans="1:5" ht="12.75">
      <c r="A4" s="91"/>
      <c r="B4" s="213" t="s">
        <v>271</v>
      </c>
      <c r="C4" s="213"/>
      <c r="D4" s="213"/>
      <c r="E4" s="92"/>
    </row>
    <row r="5" spans="1:5" ht="12.75">
      <c r="A5" s="91"/>
      <c r="B5" s="97" t="s">
        <v>272</v>
      </c>
      <c r="C5" s="98">
        <f>+C25</f>
        <v>2.4E+18</v>
      </c>
      <c r="D5" s="94" t="s">
        <v>273</v>
      </c>
      <c r="E5" s="92"/>
    </row>
    <row r="6" spans="1:5" ht="12.75">
      <c r="A6" s="91"/>
      <c r="B6" s="99" t="s">
        <v>244</v>
      </c>
      <c r="C6" s="100">
        <v>0.293</v>
      </c>
      <c r="D6" s="94" t="s">
        <v>274</v>
      </c>
      <c r="E6" s="92"/>
    </row>
    <row r="7" spans="1:5" ht="12.75">
      <c r="A7" s="91"/>
      <c r="B7" s="99" t="s">
        <v>247</v>
      </c>
      <c r="C7" s="98">
        <f>+C6*C5</f>
        <v>7.032E+17</v>
      </c>
      <c r="D7" s="94" t="s">
        <v>275</v>
      </c>
      <c r="E7" s="92"/>
    </row>
    <row r="8" spans="1:5" ht="12.75">
      <c r="A8" s="91"/>
      <c r="B8" s="99" t="s">
        <v>264</v>
      </c>
      <c r="C8" s="101">
        <f>150*10^6</f>
        <v>150000000</v>
      </c>
      <c r="D8" s="94" t="s">
        <v>276</v>
      </c>
      <c r="E8" s="92"/>
    </row>
    <row r="9" spans="1:5" ht="12.75">
      <c r="A9" s="91"/>
      <c r="B9" s="97" t="s">
        <v>247</v>
      </c>
      <c r="C9" s="102">
        <f>+C7/C8</f>
        <v>4688000000</v>
      </c>
      <c r="D9" s="94" t="s">
        <v>277</v>
      </c>
      <c r="E9" s="92"/>
    </row>
    <row r="10" spans="1:5" ht="12.75">
      <c r="A10" s="91"/>
      <c r="B10" s="97"/>
      <c r="C10" s="93"/>
      <c r="D10" s="94"/>
      <c r="E10" s="92"/>
    </row>
    <row r="11" spans="1:5" ht="12.75">
      <c r="A11" s="91"/>
      <c r="B11" s="213" t="s">
        <v>278</v>
      </c>
      <c r="C11" s="213"/>
      <c r="D11" s="213"/>
      <c r="E11" s="92"/>
    </row>
    <row r="12" spans="1:5" ht="12.75">
      <c r="A12" s="91"/>
      <c r="B12" s="97" t="s">
        <v>279</v>
      </c>
      <c r="C12" s="98">
        <v>1000</v>
      </c>
      <c r="D12" s="94" t="s">
        <v>280</v>
      </c>
      <c r="E12" s="92"/>
    </row>
    <row r="13" spans="1:5" ht="12.75">
      <c r="A13" s="91"/>
      <c r="B13" s="99" t="s">
        <v>244</v>
      </c>
      <c r="C13" s="101">
        <v>5</v>
      </c>
      <c r="D13" s="104" t="s">
        <v>281</v>
      </c>
      <c r="E13" s="105"/>
    </row>
    <row r="14" spans="1:5" ht="12.75">
      <c r="A14" s="91"/>
      <c r="B14" s="99" t="s">
        <v>247</v>
      </c>
      <c r="C14" s="98">
        <f>+C13*C12</f>
        <v>5000</v>
      </c>
      <c r="D14" s="94" t="s">
        <v>282</v>
      </c>
      <c r="E14" s="92"/>
    </row>
    <row r="15" spans="1:5" ht="12.75">
      <c r="A15" s="91"/>
      <c r="B15" s="99" t="s">
        <v>244</v>
      </c>
      <c r="C15" s="101">
        <v>365</v>
      </c>
      <c r="D15" s="94" t="s">
        <v>283</v>
      </c>
      <c r="E15" s="92"/>
    </row>
    <row r="16" spans="1:5" ht="12.75">
      <c r="A16" s="91"/>
      <c r="B16" s="99" t="s">
        <v>247</v>
      </c>
      <c r="C16" s="98">
        <f>+C15*C14</f>
        <v>1825000</v>
      </c>
      <c r="D16" s="94" t="s">
        <v>284</v>
      </c>
      <c r="E16" s="92"/>
    </row>
    <row r="17" spans="1:5" ht="12.75">
      <c r="A17" s="91"/>
      <c r="B17" s="99" t="s">
        <v>244</v>
      </c>
      <c r="C17" s="101">
        <f>1000*1000</f>
        <v>1000000</v>
      </c>
      <c r="D17" s="94" t="s">
        <v>285</v>
      </c>
      <c r="E17" s="92"/>
    </row>
    <row r="18" spans="1:5" ht="12.75">
      <c r="A18" s="91"/>
      <c r="B18" s="99" t="s">
        <v>247</v>
      </c>
      <c r="C18" s="102">
        <f>+C17*C16</f>
        <v>1825000000000</v>
      </c>
      <c r="D18" s="94" t="s">
        <v>286</v>
      </c>
      <c r="E18" s="92"/>
    </row>
    <row r="19" spans="1:5" ht="12.75">
      <c r="A19" s="91"/>
      <c r="B19" s="97"/>
      <c r="C19" s="93"/>
      <c r="D19" s="94"/>
      <c r="E19" s="92"/>
    </row>
    <row r="20" spans="1:5" ht="12.75">
      <c r="A20" s="91"/>
      <c r="B20" s="213" t="s">
        <v>287</v>
      </c>
      <c r="C20" s="213"/>
      <c r="D20" s="213"/>
      <c r="E20" s="92"/>
    </row>
    <row r="21" spans="1:5" ht="12.75">
      <c r="A21" s="91"/>
      <c r="B21" s="97"/>
      <c r="C21" s="102">
        <f>+C18/C9</f>
        <v>389.29180887372013</v>
      </c>
      <c r="D21" s="94" t="s">
        <v>288</v>
      </c>
      <c r="E21" s="92"/>
    </row>
    <row r="22" spans="1:5" ht="12.75">
      <c r="A22" s="91"/>
      <c r="B22" s="97"/>
      <c r="C22" s="107">
        <f>1/C21</f>
        <v>0.0025687671232876713</v>
      </c>
      <c r="D22" s="94" t="s">
        <v>289</v>
      </c>
      <c r="E22" s="92"/>
    </row>
    <row r="23" spans="1:5" ht="12.75">
      <c r="A23" s="91"/>
      <c r="B23" s="97"/>
      <c r="C23" s="93"/>
      <c r="D23" s="94"/>
      <c r="E23" s="92"/>
    </row>
    <row r="24" spans="1:5" ht="12.75">
      <c r="A24" s="91"/>
      <c r="B24" s="213" t="s">
        <v>290</v>
      </c>
      <c r="C24" s="213"/>
      <c r="D24" s="213"/>
      <c r="E24" s="92"/>
    </row>
    <row r="25" spans="1:5" ht="12.75">
      <c r="A25" s="91"/>
      <c r="B25" s="97" t="s">
        <v>272</v>
      </c>
      <c r="C25" s="93">
        <v>2.4E+18</v>
      </c>
      <c r="D25" s="94" t="s">
        <v>291</v>
      </c>
      <c r="E25" s="92"/>
    </row>
    <row r="26" spans="1:5" ht="12.75">
      <c r="A26" s="91"/>
      <c r="B26" s="99" t="s">
        <v>264</v>
      </c>
      <c r="C26" s="108">
        <v>120000000000</v>
      </c>
      <c r="D26" s="94" t="s">
        <v>292</v>
      </c>
      <c r="E26" s="92"/>
    </row>
    <row r="27" spans="1:5" ht="12.75">
      <c r="A27" s="91"/>
      <c r="B27" s="99" t="s">
        <v>247</v>
      </c>
      <c r="C27" s="98">
        <f>+C25/C26</f>
        <v>20000000</v>
      </c>
      <c r="D27" s="94" t="s">
        <v>293</v>
      </c>
      <c r="E27" s="92"/>
    </row>
    <row r="28" spans="1:5" ht="12.75">
      <c r="A28" s="91"/>
      <c r="B28" s="99" t="s">
        <v>264</v>
      </c>
      <c r="C28" s="98">
        <f>1000</f>
        <v>1000</v>
      </c>
      <c r="D28" s="94" t="s">
        <v>294</v>
      </c>
      <c r="E28" s="92"/>
    </row>
    <row r="29" spans="1:5" ht="12.75">
      <c r="A29" s="91"/>
      <c r="B29" s="99" t="s">
        <v>264</v>
      </c>
      <c r="C29" s="108">
        <v>2.2</v>
      </c>
      <c r="D29" s="94" t="s">
        <v>295</v>
      </c>
      <c r="E29" s="92"/>
    </row>
    <row r="30" spans="1:5" ht="12.75">
      <c r="A30" s="91"/>
      <c r="B30" s="99" t="s">
        <v>247</v>
      </c>
      <c r="C30" s="98">
        <f>+C27/C28/C29</f>
        <v>9090.90909090909</v>
      </c>
      <c r="D30" s="94" t="s">
        <v>296</v>
      </c>
      <c r="E30" s="92"/>
    </row>
    <row r="31" spans="1:5" ht="12.75">
      <c r="A31" s="91"/>
      <c r="B31" s="214" t="s">
        <v>297</v>
      </c>
      <c r="C31" s="214"/>
      <c r="D31" s="214"/>
      <c r="E31" s="92"/>
    </row>
    <row r="32" spans="1:5" ht="13.5" thickBot="1">
      <c r="A32" s="109"/>
      <c r="B32" s="110"/>
      <c r="C32" s="110"/>
      <c r="D32" s="111"/>
      <c r="E32" s="112"/>
    </row>
    <row r="33" spans="1:5" ht="12.75">
      <c r="A33" s="91"/>
      <c r="B33" s="95"/>
      <c r="C33" s="95"/>
      <c r="D33" s="113"/>
      <c r="E33" s="92"/>
    </row>
    <row r="34" spans="1:5" ht="12.75">
      <c r="A34" s="91"/>
      <c r="B34" s="114" t="s">
        <v>298</v>
      </c>
      <c r="C34" s="93"/>
      <c r="D34" s="94"/>
      <c r="E34" s="92"/>
    </row>
    <row r="35" spans="1:5" ht="43.5" customHeight="1">
      <c r="A35" s="91"/>
      <c r="B35" s="215" t="s">
        <v>299</v>
      </c>
      <c r="C35" s="215"/>
      <c r="D35" s="215"/>
      <c r="E35" s="92"/>
    </row>
    <row r="36" spans="1:5" ht="12.75">
      <c r="A36" s="91"/>
      <c r="B36" s="115" t="s">
        <v>300</v>
      </c>
      <c r="C36" s="115"/>
      <c r="D36" s="116"/>
      <c r="E36" s="92"/>
    </row>
    <row r="37" spans="1:5" ht="13.5" thickBot="1">
      <c r="A37" s="109"/>
      <c r="B37" s="117"/>
      <c r="C37" s="117"/>
      <c r="D37" s="118"/>
      <c r="E37" s="112"/>
    </row>
  </sheetData>
  <mergeCells count="7">
    <mergeCell ref="B24:D24"/>
    <mergeCell ref="B31:D31"/>
    <mergeCell ref="B35:D35"/>
    <mergeCell ref="B2:D2"/>
    <mergeCell ref="B4:D4"/>
    <mergeCell ref="B11:D11"/>
    <mergeCell ref="B20:D20"/>
  </mergeCells>
  <hyperlinks>
    <hyperlink ref="B36" r:id="rId1" display="http://www.nae.edu/nae/bridgecom.nsf/weblinks/MKUF-5NTMX9?OpenDocument"/>
  </hyperlinks>
  <printOptions/>
  <pageMargins left="0.75" right="0.75" top="1" bottom="1" header="0.5" footer="0.5"/>
  <pageSetup fitToHeight="1" fitToWidth="1" orientation="landscape" scale="89" r:id="rId2"/>
</worksheet>
</file>

<file path=xl/worksheets/sheet5.xml><?xml version="1.0" encoding="utf-8"?>
<worksheet xmlns="http://schemas.openxmlformats.org/spreadsheetml/2006/main" xmlns:r="http://schemas.openxmlformats.org/officeDocument/2006/relationships">
  <sheetPr>
    <tabColor indexed="43"/>
  </sheetPr>
  <dimension ref="A1:IV106"/>
  <sheetViews>
    <sheetView workbookViewId="0" topLeftCell="A50">
      <selection activeCell="M55" sqref="M55"/>
    </sheetView>
  </sheetViews>
  <sheetFormatPr defaultColWidth="9.00390625" defaultRowHeight="12.75"/>
  <cols>
    <col min="1" max="1" width="41.375" style="286" customWidth="1"/>
    <col min="2" max="2" width="10.00390625" style="119" customWidth="1"/>
    <col min="3" max="3" width="10.375" style="119" customWidth="1"/>
    <col min="4" max="4" width="10.75390625" style="119" customWidth="1"/>
    <col min="5" max="5" width="9.75390625" style="119" customWidth="1"/>
    <col min="6" max="7" width="11.25390625" style="119" customWidth="1"/>
    <col min="8" max="8" width="8.25390625" style="119" customWidth="1"/>
    <col min="9" max="9" width="10.25390625" style="119" customWidth="1"/>
    <col min="10" max="10" width="16.25390625" style="119" customWidth="1"/>
    <col min="11" max="11" width="12.00390625" style="120" customWidth="1"/>
    <col min="12" max="12" width="0.74609375" style="120" customWidth="1"/>
    <col min="13" max="13" width="11.00390625" style="121" customWidth="1"/>
    <col min="14" max="14" width="17.375" style="120" customWidth="1"/>
    <col min="15" max="15" width="18.00390625" style="119" customWidth="1"/>
    <col min="16" max="16384" width="6.625" style="119" customWidth="1"/>
  </cols>
  <sheetData>
    <row r="1" spans="1:15" s="122" customFormat="1" ht="12.75">
      <c r="A1" s="277"/>
      <c r="B1" s="278"/>
      <c r="C1" s="278"/>
      <c r="D1" s="278"/>
      <c r="E1" s="127"/>
      <c r="F1" s="127"/>
      <c r="G1" s="127"/>
      <c r="H1" s="127"/>
      <c r="I1" s="127"/>
      <c r="J1" s="127"/>
      <c r="K1" s="129"/>
      <c r="L1" s="130"/>
      <c r="M1" s="131"/>
      <c r="N1" s="132"/>
      <c r="O1" s="133"/>
    </row>
    <row r="2" spans="1:15" s="122" customFormat="1" ht="15.75">
      <c r="A2" s="135" t="s">
        <v>301</v>
      </c>
      <c r="B2" s="134"/>
      <c r="C2" s="134"/>
      <c r="D2" s="134"/>
      <c r="E2" s="134"/>
      <c r="F2" s="134"/>
      <c r="K2" s="130"/>
      <c r="L2" s="130"/>
      <c r="M2" s="125"/>
      <c r="N2" s="123"/>
      <c r="O2" s="136"/>
    </row>
    <row r="3" spans="1:15" s="122" customFormat="1" ht="12.75">
      <c r="A3" s="137"/>
      <c r="B3" s="126"/>
      <c r="C3" s="126"/>
      <c r="D3" s="126"/>
      <c r="K3" s="130"/>
      <c r="L3" s="130"/>
      <c r="M3" s="125"/>
      <c r="N3" s="123"/>
      <c r="O3" s="136"/>
    </row>
    <row r="4" spans="1:15" s="122" customFormat="1" ht="12.75">
      <c r="A4" s="138" t="s">
        <v>302</v>
      </c>
      <c r="B4" s="126"/>
      <c r="C4" s="126"/>
      <c r="D4" s="126"/>
      <c r="K4" s="130"/>
      <c r="L4" s="130"/>
      <c r="M4" s="125"/>
      <c r="N4" s="123"/>
      <c r="O4" s="136"/>
    </row>
    <row r="5" spans="1:256" s="122" customFormat="1" ht="12.75">
      <c r="A5" s="137"/>
      <c r="B5" s="126"/>
      <c r="C5" s="126"/>
      <c r="D5" s="126"/>
      <c r="J5" s="139"/>
      <c r="K5" s="141"/>
      <c r="L5" s="141"/>
      <c r="M5" s="142"/>
      <c r="N5" s="143"/>
      <c r="O5" s="144"/>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row>
    <row r="6" spans="1:256" s="122" customFormat="1" ht="12.75">
      <c r="A6" s="279" t="s">
        <v>303</v>
      </c>
      <c r="B6" s="280"/>
      <c r="C6" s="280"/>
      <c r="D6" s="280"/>
      <c r="J6" s="139"/>
      <c r="K6" s="141"/>
      <c r="L6" s="141"/>
      <c r="M6" s="142"/>
      <c r="N6" s="143"/>
      <c r="O6" s="144"/>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row>
    <row r="7" spans="1:256" s="122" customFormat="1" ht="12.75">
      <c r="A7" s="137"/>
      <c r="B7" s="126"/>
      <c r="C7" s="126"/>
      <c r="D7" s="126"/>
      <c r="J7" s="139"/>
      <c r="K7" s="141"/>
      <c r="L7" s="141"/>
      <c r="M7" s="142"/>
      <c r="N7" s="143"/>
      <c r="O7" s="144"/>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45"/>
      <c r="IS7" s="145"/>
      <c r="IT7" s="145"/>
      <c r="IU7" s="145"/>
      <c r="IV7" s="145"/>
    </row>
    <row r="8" spans="1:256" s="122" customFormat="1" ht="12.75" customHeight="1">
      <c r="A8" s="281" t="s">
        <v>304</v>
      </c>
      <c r="B8" s="282"/>
      <c r="C8" s="282"/>
      <c r="D8" s="282"/>
      <c r="E8" s="147"/>
      <c r="F8" s="147"/>
      <c r="G8" s="147"/>
      <c r="H8" s="147"/>
      <c r="I8" s="147"/>
      <c r="J8" s="139"/>
      <c r="K8" s="141"/>
      <c r="L8" s="141"/>
      <c r="M8" s="142"/>
      <c r="N8" s="143"/>
      <c r="O8" s="144"/>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c r="IU8" s="145"/>
      <c r="IV8" s="145"/>
    </row>
    <row r="9" spans="1:256" s="122" customFormat="1" ht="12.75" customHeight="1">
      <c r="A9" s="148" t="s">
        <v>165</v>
      </c>
      <c r="B9" s="149"/>
      <c r="C9" s="149"/>
      <c r="D9" s="149"/>
      <c r="E9" s="149"/>
      <c r="F9" s="149"/>
      <c r="G9" s="149"/>
      <c r="H9" s="149"/>
      <c r="I9" s="149"/>
      <c r="J9" s="139"/>
      <c r="K9" s="141"/>
      <c r="L9" s="141"/>
      <c r="M9" s="142"/>
      <c r="N9" s="143"/>
      <c r="O9" s="144"/>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row>
    <row r="10" spans="1:256" s="122" customFormat="1" ht="24" customHeight="1">
      <c r="A10" s="148" t="s">
        <v>305</v>
      </c>
      <c r="B10" s="150" t="s">
        <v>306</v>
      </c>
      <c r="C10" s="150" t="s">
        <v>307</v>
      </c>
      <c r="D10" s="150" t="s">
        <v>308</v>
      </c>
      <c r="E10" s="150" t="s">
        <v>309</v>
      </c>
      <c r="F10" s="150" t="s">
        <v>310</v>
      </c>
      <c r="G10" s="150" t="s">
        <v>311</v>
      </c>
      <c r="H10" s="150" t="s">
        <v>312</v>
      </c>
      <c r="I10" s="150" t="s">
        <v>313</v>
      </c>
      <c r="J10" s="283" t="s">
        <v>314</v>
      </c>
      <c r="K10" s="66" t="s">
        <v>315</v>
      </c>
      <c r="L10" s="151"/>
      <c r="M10" s="142"/>
      <c r="N10" s="143"/>
      <c r="O10" s="144"/>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row>
    <row r="11" spans="1:256" s="122" customFormat="1" ht="12.75" customHeight="1">
      <c r="A11" s="148" t="s">
        <v>165</v>
      </c>
      <c r="B11" s="150" t="s">
        <v>316</v>
      </c>
      <c r="C11" s="150" t="s">
        <v>317</v>
      </c>
      <c r="D11" s="150" t="s">
        <v>318</v>
      </c>
      <c r="E11" s="150" t="s">
        <v>318</v>
      </c>
      <c r="F11" s="150" t="s">
        <v>318</v>
      </c>
      <c r="G11" s="150" t="s">
        <v>318</v>
      </c>
      <c r="H11" s="150" t="s">
        <v>319</v>
      </c>
      <c r="I11" s="150" t="s">
        <v>320</v>
      </c>
      <c r="J11" s="283"/>
      <c r="K11" s="66"/>
      <c r="L11" s="130"/>
      <c r="M11" s="142"/>
      <c r="N11" s="143"/>
      <c r="O11" s="144"/>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row>
    <row r="12" spans="1:256" s="122" customFormat="1" ht="12.75" customHeight="1">
      <c r="A12" s="148"/>
      <c r="B12" s="149"/>
      <c r="C12" s="149"/>
      <c r="D12" s="149"/>
      <c r="E12" s="149"/>
      <c r="F12" s="149"/>
      <c r="G12" s="149"/>
      <c r="H12" s="149"/>
      <c r="I12" s="149"/>
      <c r="J12" s="139"/>
      <c r="K12" s="141"/>
      <c r="L12" s="141"/>
      <c r="M12" s="142"/>
      <c r="N12" s="143"/>
      <c r="O12" s="144"/>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row>
    <row r="13" spans="1:256" s="122" customFormat="1" ht="12.75" customHeight="1">
      <c r="A13" s="148" t="s">
        <v>321</v>
      </c>
      <c r="B13" s="149"/>
      <c r="C13" s="149"/>
      <c r="D13" s="149"/>
      <c r="E13" s="149"/>
      <c r="F13" s="149"/>
      <c r="G13" s="149"/>
      <c r="H13" s="149"/>
      <c r="I13" s="149"/>
      <c r="J13" s="139"/>
      <c r="K13" s="141"/>
      <c r="L13" s="141"/>
      <c r="M13" s="142"/>
      <c r="N13" s="143"/>
      <c r="O13" s="144"/>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row>
    <row r="14" spans="1:256" s="122" customFormat="1" ht="12.75" customHeight="1">
      <c r="A14" s="148" t="s">
        <v>322</v>
      </c>
      <c r="B14" s="152">
        <v>33067</v>
      </c>
      <c r="C14" s="150">
        <v>4.1</v>
      </c>
      <c r="D14" s="150">
        <v>12</v>
      </c>
      <c r="E14" s="150">
        <v>35</v>
      </c>
      <c r="F14" s="150">
        <v>215.8</v>
      </c>
      <c r="G14" s="150">
        <v>300</v>
      </c>
      <c r="H14" s="150">
        <v>1</v>
      </c>
      <c r="I14" s="152">
        <v>1879</v>
      </c>
      <c r="J14" s="143">
        <f aca="true" t="shared" si="0" ref="J14:J19">+B14*G14/5280</f>
        <v>1878.8068181818182</v>
      </c>
      <c r="K14" s="141">
        <f aca="true" t="shared" si="1" ref="K14:K19">+D14*C14*B14/5280</f>
        <v>308.1243181818182</v>
      </c>
      <c r="L14" s="154">
        <f aca="true" t="shared" si="2" ref="L14:L20">+K14/I14</f>
        <v>0.16398313900043543</v>
      </c>
      <c r="M14" s="142"/>
      <c r="N14" s="143"/>
      <c r="O14" s="144"/>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row>
    <row r="15" spans="1:256" s="122" customFormat="1" ht="12.75" customHeight="1">
      <c r="A15" s="148" t="s">
        <v>323</v>
      </c>
      <c r="B15" s="152">
        <v>98952</v>
      </c>
      <c r="C15" s="150">
        <v>2.3</v>
      </c>
      <c r="D15" s="150">
        <v>11.6</v>
      </c>
      <c r="E15" s="150">
        <v>22.5</v>
      </c>
      <c r="F15" s="150">
        <v>350.8</v>
      </c>
      <c r="G15" s="150">
        <v>250</v>
      </c>
      <c r="H15" s="150">
        <v>1</v>
      </c>
      <c r="I15" s="152">
        <v>4685</v>
      </c>
      <c r="J15" s="143">
        <f t="shared" si="0"/>
        <v>4685.227272727273</v>
      </c>
      <c r="K15" s="141">
        <f t="shared" si="1"/>
        <v>500.00745454545444</v>
      </c>
      <c r="L15" s="154">
        <f t="shared" si="2"/>
        <v>0.10672517706413115</v>
      </c>
      <c r="M15" s="142"/>
      <c r="N15" s="143"/>
      <c r="O15" s="144"/>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row>
    <row r="16" spans="1:256" s="122" customFormat="1" ht="12.75" customHeight="1">
      <c r="A16" s="148" t="s">
        <v>324</v>
      </c>
      <c r="B16" s="152">
        <v>137751</v>
      </c>
      <c r="C16" s="150">
        <v>2.1</v>
      </c>
      <c r="D16" s="150">
        <v>11.5</v>
      </c>
      <c r="E16" s="150">
        <v>15</v>
      </c>
      <c r="F16" s="150">
        <v>260.9</v>
      </c>
      <c r="G16" s="150">
        <v>200</v>
      </c>
      <c r="H16" s="150">
        <v>1</v>
      </c>
      <c r="I16" s="152">
        <v>5218</v>
      </c>
      <c r="J16" s="143">
        <f t="shared" si="0"/>
        <v>5217.840909090909</v>
      </c>
      <c r="K16" s="141">
        <f t="shared" si="1"/>
        <v>630.0542897727273</v>
      </c>
      <c r="L16" s="154">
        <f t="shared" si="2"/>
        <v>0.12074631846928466</v>
      </c>
      <c r="M16" s="142"/>
      <c r="N16" s="143"/>
      <c r="O16" s="144"/>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6" s="122" customFormat="1" ht="12.75" customHeight="1">
      <c r="A17" s="148" t="s">
        <v>325</v>
      </c>
      <c r="B17" s="152">
        <v>433754</v>
      </c>
      <c r="C17" s="150">
        <v>2</v>
      </c>
      <c r="D17" s="150">
        <v>10.9</v>
      </c>
      <c r="E17" s="150">
        <v>10</v>
      </c>
      <c r="F17" s="150">
        <v>168.2</v>
      </c>
      <c r="G17" s="150">
        <v>150</v>
      </c>
      <c r="H17" s="150">
        <v>1</v>
      </c>
      <c r="I17" s="152">
        <v>12323</v>
      </c>
      <c r="J17" s="143">
        <f t="shared" si="0"/>
        <v>12322.556818181818</v>
      </c>
      <c r="K17" s="141">
        <f t="shared" si="1"/>
        <v>1790.8782575757577</v>
      </c>
      <c r="L17" s="154">
        <f t="shared" si="2"/>
        <v>0.14532810659545223</v>
      </c>
      <c r="M17" s="142"/>
      <c r="N17" s="143"/>
      <c r="O17" s="144"/>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256" s="122" customFormat="1" ht="12.75" customHeight="1">
      <c r="A18" s="148" t="s">
        <v>326</v>
      </c>
      <c r="B18" s="152">
        <v>272360</v>
      </c>
      <c r="C18" s="150">
        <v>2</v>
      </c>
      <c r="D18" s="150">
        <v>10.1</v>
      </c>
      <c r="E18" s="150">
        <v>5</v>
      </c>
      <c r="F18" s="150">
        <v>74.8</v>
      </c>
      <c r="G18" s="150">
        <v>100</v>
      </c>
      <c r="H18" s="150">
        <v>1.01</v>
      </c>
      <c r="I18" s="152">
        <v>5210</v>
      </c>
      <c r="J18" s="143">
        <f t="shared" si="0"/>
        <v>5158.333333333333</v>
      </c>
      <c r="K18" s="141">
        <f t="shared" si="1"/>
        <v>1041.9833333333333</v>
      </c>
      <c r="L18" s="154">
        <f t="shared" si="2"/>
        <v>0.19999680102367243</v>
      </c>
      <c r="M18" s="142"/>
      <c r="N18" s="143"/>
      <c r="O18" s="144"/>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row>
    <row r="19" spans="1:256" s="122" customFormat="1" ht="12.75" customHeight="1">
      <c r="A19" s="148" t="s">
        <v>327</v>
      </c>
      <c r="B19" s="155">
        <v>2102977</v>
      </c>
      <c r="C19" s="150">
        <v>1.7</v>
      </c>
      <c r="D19" s="150">
        <v>10</v>
      </c>
      <c r="E19" s="150">
        <v>4</v>
      </c>
      <c r="F19" s="150">
        <v>29</v>
      </c>
      <c r="G19" s="150">
        <v>50</v>
      </c>
      <c r="H19" s="150">
        <v>1.05</v>
      </c>
      <c r="I19" s="155">
        <v>20910</v>
      </c>
      <c r="J19" s="143">
        <f t="shared" si="0"/>
        <v>19914.554924242424</v>
      </c>
      <c r="K19" s="156">
        <f t="shared" si="1"/>
        <v>6770.948674242424</v>
      </c>
      <c r="L19" s="157">
        <f t="shared" si="2"/>
        <v>0.3238139012071939</v>
      </c>
      <c r="M19" s="142"/>
      <c r="N19" s="143"/>
      <c r="O19" s="144"/>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row>
    <row r="20" spans="1:256" s="122" customFormat="1" ht="12.75" customHeight="1">
      <c r="A20" s="148" t="s">
        <v>328</v>
      </c>
      <c r="B20" s="152">
        <v>3078870</v>
      </c>
      <c r="C20" s="149"/>
      <c r="D20" s="149"/>
      <c r="E20" s="149"/>
      <c r="F20" s="149"/>
      <c r="G20" s="149"/>
      <c r="H20" s="149"/>
      <c r="I20" s="152">
        <v>50225</v>
      </c>
      <c r="J20" s="139"/>
      <c r="K20" s="141">
        <f>SUM(K11:K19)</f>
        <v>11041.996327651515</v>
      </c>
      <c r="L20" s="154">
        <f t="shared" si="2"/>
        <v>0.21985059885816854</v>
      </c>
      <c r="M20" s="142"/>
      <c r="N20" s="143"/>
      <c r="O20" s="144"/>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c r="IV20" s="145"/>
    </row>
    <row r="21" spans="1:256" s="122" customFormat="1" ht="12.75" customHeight="1">
      <c r="A21" s="148"/>
      <c r="B21" s="149" t="s">
        <v>165</v>
      </c>
      <c r="C21" s="149"/>
      <c r="D21" s="149"/>
      <c r="E21" s="149"/>
      <c r="F21" s="149"/>
      <c r="G21" s="149"/>
      <c r="H21" s="149"/>
      <c r="I21" s="149"/>
      <c r="J21" s="139"/>
      <c r="K21" s="141"/>
      <c r="L21" s="141"/>
      <c r="M21" s="142"/>
      <c r="N21" s="143"/>
      <c r="O21" s="144"/>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row>
    <row r="22" spans="1:256" s="122" customFormat="1" ht="12.75" customHeight="1">
      <c r="A22" s="148" t="s">
        <v>329</v>
      </c>
      <c r="B22" s="149"/>
      <c r="C22" s="149"/>
      <c r="D22" s="149"/>
      <c r="E22" s="149"/>
      <c r="F22" s="149"/>
      <c r="G22" s="149"/>
      <c r="H22" s="149"/>
      <c r="I22" s="149"/>
      <c r="J22" s="139"/>
      <c r="K22" s="141"/>
      <c r="L22" s="141"/>
      <c r="M22" s="142"/>
      <c r="N22" s="143"/>
      <c r="O22" s="144"/>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c r="IU22" s="145"/>
      <c r="IV22" s="145"/>
    </row>
    <row r="23" spans="1:256" s="122" customFormat="1" ht="12.75" customHeight="1">
      <c r="A23" s="148" t="s">
        <v>322</v>
      </c>
      <c r="B23" s="152">
        <v>13491</v>
      </c>
      <c r="C23" s="150">
        <v>5.4</v>
      </c>
      <c r="D23" s="150">
        <v>12</v>
      </c>
      <c r="E23" s="150" t="s">
        <v>330</v>
      </c>
      <c r="F23" s="150" t="s">
        <v>330</v>
      </c>
      <c r="G23" s="150">
        <v>64.8</v>
      </c>
      <c r="H23" s="150">
        <v>1</v>
      </c>
      <c r="I23" s="150">
        <v>166</v>
      </c>
      <c r="J23" s="139"/>
      <c r="K23" s="141">
        <f aca="true" t="shared" si="3" ref="K23:K28">+D23*C23*B23/5280</f>
        <v>165.57136363636366</v>
      </c>
      <c r="L23" s="141"/>
      <c r="M23" s="142"/>
      <c r="N23" s="143"/>
      <c r="O23" s="144"/>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c r="IV23" s="145"/>
    </row>
    <row r="24" spans="1:256" s="122" customFormat="1" ht="12.75" customHeight="1">
      <c r="A24" s="148" t="s">
        <v>331</v>
      </c>
      <c r="B24" s="152">
        <v>9175</v>
      </c>
      <c r="C24" s="150">
        <v>4.5</v>
      </c>
      <c r="D24" s="150">
        <v>12</v>
      </c>
      <c r="E24" s="150" t="s">
        <v>330</v>
      </c>
      <c r="F24" s="150" t="s">
        <v>330</v>
      </c>
      <c r="G24" s="150">
        <v>54</v>
      </c>
      <c r="H24" s="150">
        <v>1</v>
      </c>
      <c r="I24" s="150">
        <v>94</v>
      </c>
      <c r="J24" s="139"/>
      <c r="K24" s="141">
        <f t="shared" si="3"/>
        <v>93.83522727272727</v>
      </c>
      <c r="L24" s="141"/>
      <c r="M24" s="142"/>
      <c r="N24" s="143"/>
      <c r="O24" s="144"/>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c r="IV24" s="145"/>
    </row>
    <row r="25" spans="1:256" s="122" customFormat="1" ht="12.75" customHeight="1">
      <c r="A25" s="148" t="s">
        <v>323</v>
      </c>
      <c r="B25" s="152">
        <v>53447</v>
      </c>
      <c r="C25" s="150">
        <v>3.4</v>
      </c>
      <c r="D25" s="150">
        <v>11.5</v>
      </c>
      <c r="E25" s="150" t="s">
        <v>330</v>
      </c>
      <c r="F25" s="150" t="s">
        <v>330</v>
      </c>
      <c r="G25" s="150">
        <v>39.1</v>
      </c>
      <c r="H25" s="150">
        <v>1</v>
      </c>
      <c r="I25" s="150">
        <v>396</v>
      </c>
      <c r="J25" s="139"/>
      <c r="K25" s="141">
        <f t="shared" si="3"/>
        <v>395.7912310606061</v>
      </c>
      <c r="L25" s="141"/>
      <c r="M25" s="142"/>
      <c r="N25" s="158" t="s">
        <v>332</v>
      </c>
      <c r="O25" s="159"/>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c r="IV25" s="145"/>
    </row>
    <row r="26" spans="1:256" s="122" customFormat="1" ht="12.75" customHeight="1">
      <c r="A26" s="148" t="s">
        <v>324</v>
      </c>
      <c r="B26" s="152">
        <v>89911</v>
      </c>
      <c r="C26" s="150">
        <v>2.5</v>
      </c>
      <c r="D26" s="150">
        <v>11.3</v>
      </c>
      <c r="E26" s="150" t="s">
        <v>330</v>
      </c>
      <c r="F26" s="150" t="s">
        <v>330</v>
      </c>
      <c r="G26" s="150">
        <v>28.3</v>
      </c>
      <c r="H26" s="150">
        <v>1</v>
      </c>
      <c r="I26" s="150">
        <v>481</v>
      </c>
      <c r="J26" s="139"/>
      <c r="K26" s="141">
        <f t="shared" si="3"/>
        <v>481.0579071969697</v>
      </c>
      <c r="L26" s="141"/>
      <c r="M26" s="142"/>
      <c r="N26" s="143"/>
      <c r="O26" s="144"/>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c r="IV26" s="145"/>
    </row>
    <row r="27" spans="1:256" s="122" customFormat="1" ht="12.75" customHeight="1">
      <c r="A27" s="148" t="s">
        <v>333</v>
      </c>
      <c r="B27" s="152">
        <v>88604</v>
      </c>
      <c r="C27" s="150">
        <v>2.1</v>
      </c>
      <c r="D27" s="150">
        <v>11.1</v>
      </c>
      <c r="E27" s="150" t="s">
        <v>330</v>
      </c>
      <c r="F27" s="150" t="s">
        <v>330</v>
      </c>
      <c r="G27" s="150">
        <v>23.3</v>
      </c>
      <c r="H27" s="150">
        <v>1.01</v>
      </c>
      <c r="I27" s="150">
        <v>395</v>
      </c>
      <c r="J27" s="139"/>
      <c r="K27" s="141">
        <f t="shared" si="3"/>
        <v>391.1665227272727</v>
      </c>
      <c r="L27" s="141"/>
      <c r="M27" s="142"/>
      <c r="N27" s="143"/>
      <c r="O27" s="144"/>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c r="IV27" s="145"/>
    </row>
    <row r="28" spans="1:256" s="122" customFormat="1" ht="12.75" customHeight="1">
      <c r="A28" s="148" t="s">
        <v>327</v>
      </c>
      <c r="B28" s="155">
        <v>598514</v>
      </c>
      <c r="C28" s="150">
        <v>1.8</v>
      </c>
      <c r="D28" s="150">
        <v>10.9</v>
      </c>
      <c r="E28" s="150" t="s">
        <v>330</v>
      </c>
      <c r="F28" s="150" t="s">
        <v>330</v>
      </c>
      <c r="G28" s="150">
        <v>19.6</v>
      </c>
      <c r="H28" s="150">
        <v>1.03</v>
      </c>
      <c r="I28" s="155">
        <v>2291</v>
      </c>
      <c r="J28" s="139"/>
      <c r="K28" s="156">
        <f t="shared" si="3"/>
        <v>2224.0236136363637</v>
      </c>
      <c r="L28" s="141"/>
      <c r="M28" s="142" t="s">
        <v>241</v>
      </c>
      <c r="N28" s="143">
        <v>1000</v>
      </c>
      <c r="O28" s="144" t="s">
        <v>334</v>
      </c>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c r="IR28" s="145"/>
      <c r="IS28" s="145"/>
      <c r="IT28" s="145"/>
      <c r="IU28" s="145"/>
      <c r="IV28" s="145"/>
    </row>
    <row r="29" spans="1:256" s="122" customFormat="1" ht="12.75" customHeight="1">
      <c r="A29" s="148" t="s">
        <v>335</v>
      </c>
      <c r="B29" s="152">
        <v>853142</v>
      </c>
      <c r="C29" s="149"/>
      <c r="D29" s="149"/>
      <c r="E29" s="150"/>
      <c r="F29" s="150"/>
      <c r="G29" s="149"/>
      <c r="H29" s="149"/>
      <c r="I29" s="152">
        <v>3822</v>
      </c>
      <c r="J29" s="139"/>
      <c r="K29" s="141">
        <f>SUM(K20:K28)</f>
        <v>14793.44219318182</v>
      </c>
      <c r="L29" s="141"/>
      <c r="M29" s="142" t="s">
        <v>244</v>
      </c>
      <c r="N29" s="160">
        <v>0.12</v>
      </c>
      <c r="O29" s="144" t="s">
        <v>336</v>
      </c>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c r="IN29" s="145"/>
      <c r="IO29" s="145"/>
      <c r="IP29" s="145"/>
      <c r="IQ29" s="145"/>
      <c r="IR29" s="145"/>
      <c r="IS29" s="145"/>
      <c r="IT29" s="145"/>
      <c r="IU29" s="145"/>
      <c r="IV29" s="145"/>
    </row>
    <row r="30" spans="1:256" s="122" customFormat="1" ht="12.75" customHeight="1">
      <c r="A30" s="148"/>
      <c r="B30" s="161"/>
      <c r="C30" s="149"/>
      <c r="D30" s="149"/>
      <c r="E30" s="150"/>
      <c r="F30" s="150"/>
      <c r="G30" s="149"/>
      <c r="H30" s="149"/>
      <c r="I30" s="161"/>
      <c r="J30" s="139"/>
      <c r="K30" s="156"/>
      <c r="L30" s="141"/>
      <c r="M30" s="142" t="s">
        <v>247</v>
      </c>
      <c r="N30" s="143">
        <f>+N28*N29</f>
        <v>120</v>
      </c>
      <c r="O30" s="144" t="s">
        <v>337</v>
      </c>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5"/>
      <c r="IK30" s="145"/>
      <c r="IL30" s="145"/>
      <c r="IM30" s="145"/>
      <c r="IN30" s="145"/>
      <c r="IO30" s="145"/>
      <c r="IP30" s="145"/>
      <c r="IQ30" s="145"/>
      <c r="IR30" s="145"/>
      <c r="IS30" s="145"/>
      <c r="IT30" s="145"/>
      <c r="IU30" s="145"/>
      <c r="IV30" s="145"/>
    </row>
    <row r="31" spans="1:256" s="122" customFormat="1" ht="12.75" customHeight="1">
      <c r="A31" s="148" t="s">
        <v>338</v>
      </c>
      <c r="B31" s="152">
        <v>3932012</v>
      </c>
      <c r="C31" s="149"/>
      <c r="D31" s="149"/>
      <c r="E31" s="150"/>
      <c r="F31" s="150"/>
      <c r="G31" s="149"/>
      <c r="H31" s="149"/>
      <c r="I31" s="152">
        <v>54047</v>
      </c>
      <c r="J31" s="139"/>
      <c r="K31" s="141">
        <f>+K20+K29</f>
        <v>25835.438520833333</v>
      </c>
      <c r="L31" s="141"/>
      <c r="M31" s="142" t="s">
        <v>244</v>
      </c>
      <c r="N31" s="162">
        <v>5</v>
      </c>
      <c r="O31" s="144" t="s">
        <v>254</v>
      </c>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c r="IR31" s="145"/>
      <c r="IS31" s="145"/>
      <c r="IT31" s="145"/>
      <c r="IU31" s="145"/>
      <c r="IV31" s="145"/>
    </row>
    <row r="32" spans="1:256" s="122" customFormat="1" ht="12.75">
      <c r="A32" s="138"/>
      <c r="J32" s="139"/>
      <c r="K32" s="141"/>
      <c r="L32" s="141"/>
      <c r="M32" s="142" t="s">
        <v>247</v>
      </c>
      <c r="N32" s="123">
        <f>+N31*N30</f>
        <v>600</v>
      </c>
      <c r="O32" s="136" t="s">
        <v>339</v>
      </c>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c r="IL32" s="145"/>
      <c r="IM32" s="145"/>
      <c r="IN32" s="145"/>
      <c r="IO32" s="145"/>
      <c r="IP32" s="145"/>
      <c r="IQ32" s="145"/>
      <c r="IR32" s="145"/>
      <c r="IS32" s="145"/>
      <c r="IT32" s="145"/>
      <c r="IU32" s="145"/>
      <c r="IV32" s="145"/>
    </row>
    <row r="33" spans="1:256" s="122" customFormat="1" ht="12.75">
      <c r="A33" s="138"/>
      <c r="I33" s="128">
        <f>1.607^2</f>
        <v>2.582449</v>
      </c>
      <c r="J33" s="139" t="s">
        <v>340</v>
      </c>
      <c r="K33" s="163">
        <f>1.607^2</f>
        <v>2.582449</v>
      </c>
      <c r="L33" s="163"/>
      <c r="M33" s="142" t="s">
        <v>244</v>
      </c>
      <c r="N33" s="143">
        <v>365</v>
      </c>
      <c r="O33" s="144" t="s">
        <v>283</v>
      </c>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c r="IV33" s="145"/>
    </row>
    <row r="34" spans="1:256" s="122" customFormat="1" ht="12.75">
      <c r="A34" s="137"/>
      <c r="I34" s="164">
        <v>100</v>
      </c>
      <c r="J34" s="143" t="s">
        <v>341</v>
      </c>
      <c r="K34" s="165">
        <v>100</v>
      </c>
      <c r="L34" s="130"/>
      <c r="M34" s="142" t="s">
        <v>264</v>
      </c>
      <c r="N34" s="162">
        <v>1000</v>
      </c>
      <c r="O34" s="144" t="s">
        <v>342</v>
      </c>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row>
    <row r="35" spans="1:256" s="122" customFormat="1" ht="12.75">
      <c r="A35" s="67" t="s">
        <v>343</v>
      </c>
      <c r="B35" s="274"/>
      <c r="C35" s="274"/>
      <c r="D35" s="274"/>
      <c r="E35" s="147"/>
      <c r="F35" s="147"/>
      <c r="G35" s="147"/>
      <c r="I35" s="123">
        <f>+I34*I33*I31</f>
        <v>13957362.110299999</v>
      </c>
      <c r="J35" s="139"/>
      <c r="K35" s="130">
        <f>+K34*K33*K31</f>
        <v>6671870.2372687515</v>
      </c>
      <c r="L35" s="130"/>
      <c r="M35" s="142"/>
      <c r="N35" s="166">
        <f>+N32*N33/N34</f>
        <v>219</v>
      </c>
      <c r="O35" s="144" t="s">
        <v>344</v>
      </c>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c r="IV35" s="145"/>
    </row>
    <row r="36" spans="1:256" s="122" customFormat="1" ht="15" customHeight="1">
      <c r="A36" s="148" t="s">
        <v>165</v>
      </c>
      <c r="B36" s="149"/>
      <c r="C36" s="149"/>
      <c r="D36" s="149"/>
      <c r="E36" s="149"/>
      <c r="F36" s="149"/>
      <c r="G36" s="149"/>
      <c r="J36" s="139"/>
      <c r="K36" s="167" t="s">
        <v>345</v>
      </c>
      <c r="L36" s="141"/>
      <c r="M36" s="142"/>
      <c r="N36" s="143"/>
      <c r="O36" s="144"/>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c r="IV36" s="145"/>
    </row>
    <row r="37" spans="1:256" s="122" customFormat="1" ht="105.75" customHeight="1">
      <c r="A37" s="168" t="s">
        <v>346</v>
      </c>
      <c r="B37" s="150" t="s">
        <v>347</v>
      </c>
      <c r="C37" s="150" t="s">
        <v>348</v>
      </c>
      <c r="D37" s="150" t="s">
        <v>349</v>
      </c>
      <c r="E37" s="150" t="s">
        <v>350</v>
      </c>
      <c r="F37" s="150" t="s">
        <v>351</v>
      </c>
      <c r="G37" s="150" t="s">
        <v>352</v>
      </c>
      <c r="I37" s="139"/>
      <c r="J37" s="139"/>
      <c r="K37" s="141"/>
      <c r="L37" s="141"/>
      <c r="M37" s="142"/>
      <c r="N37" s="143"/>
      <c r="O37" s="144"/>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row>
    <row r="38" spans="1:256" s="122" customFormat="1" ht="52.5" customHeight="1">
      <c r="A38" s="168"/>
      <c r="B38" s="150" t="s">
        <v>353</v>
      </c>
      <c r="C38" s="150" t="s">
        <v>354</v>
      </c>
      <c r="D38" s="150" t="s">
        <v>317</v>
      </c>
      <c r="E38" s="150" t="s">
        <v>151</v>
      </c>
      <c r="F38" s="150" t="s">
        <v>151</v>
      </c>
      <c r="G38" s="150" t="s">
        <v>151</v>
      </c>
      <c r="I38" s="139"/>
      <c r="J38" s="139"/>
      <c r="K38" s="141"/>
      <c r="L38" s="141"/>
      <c r="M38" s="142"/>
      <c r="N38" s="143"/>
      <c r="O38" s="144"/>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256" s="122" customFormat="1" ht="15" customHeight="1">
      <c r="A39" s="148"/>
      <c r="B39" s="149"/>
      <c r="C39" s="149"/>
      <c r="D39" s="149"/>
      <c r="E39" s="149"/>
      <c r="F39" s="149"/>
      <c r="G39" s="149"/>
      <c r="I39" s="139"/>
      <c r="J39" s="169" t="s">
        <v>355</v>
      </c>
      <c r="K39" s="170"/>
      <c r="L39" s="141"/>
      <c r="M39" s="142"/>
      <c r="N39" s="171" t="s">
        <v>356</v>
      </c>
      <c r="O39" s="170"/>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c r="IL39" s="145"/>
      <c r="IM39" s="145"/>
      <c r="IN39" s="145"/>
      <c r="IO39" s="145"/>
      <c r="IP39" s="145"/>
      <c r="IQ39" s="145"/>
      <c r="IR39" s="145"/>
      <c r="IS39" s="145"/>
      <c r="IT39" s="145"/>
      <c r="IU39" s="145"/>
      <c r="IV39" s="145"/>
    </row>
    <row r="40" spans="1:256" s="122" customFormat="1" ht="15" customHeight="1">
      <c r="A40" s="148" t="s">
        <v>357</v>
      </c>
      <c r="B40" s="152">
        <v>213509100</v>
      </c>
      <c r="C40" s="150">
        <v>30</v>
      </c>
      <c r="D40" s="150">
        <v>3</v>
      </c>
      <c r="E40" s="152">
        <v>1921582</v>
      </c>
      <c r="F40" s="152">
        <v>13998033</v>
      </c>
      <c r="G40" s="152">
        <v>15919615</v>
      </c>
      <c r="I40" s="139"/>
      <c r="J40" s="143"/>
      <c r="K40" s="141"/>
      <c r="L40" s="141"/>
      <c r="M40" s="142"/>
      <c r="N40" s="143"/>
      <c r="O40" s="144"/>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c r="IL40" s="145"/>
      <c r="IM40" s="145"/>
      <c r="IN40" s="145"/>
      <c r="IO40" s="145"/>
      <c r="IP40" s="145"/>
      <c r="IQ40" s="145"/>
      <c r="IR40" s="145"/>
      <c r="IS40" s="145"/>
      <c r="IT40" s="145"/>
      <c r="IU40" s="145"/>
      <c r="IV40" s="145"/>
    </row>
    <row r="41" spans="1:256" s="122" customFormat="1" ht="12.75">
      <c r="A41" s="138"/>
      <c r="E41" s="172">
        <f>+E40</f>
        <v>1921582</v>
      </c>
      <c r="F41" s="173">
        <f>+K35</f>
        <v>6671870.2372687515</v>
      </c>
      <c r="G41" s="173">
        <f>+E41+F41</f>
        <v>8593452.237268751</v>
      </c>
      <c r="H41" s="174" t="s">
        <v>358</v>
      </c>
      <c r="I41" s="142" t="s">
        <v>241</v>
      </c>
      <c r="J41" s="143">
        <f>+G41</f>
        <v>8593452.237268751</v>
      </c>
      <c r="K41" s="141" t="s">
        <v>151</v>
      </c>
      <c r="L41" s="141"/>
      <c r="M41" s="142"/>
      <c r="N41" s="175">
        <f>+J41</f>
        <v>8593452.237268751</v>
      </c>
      <c r="O41" s="144"/>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5"/>
      <c r="IJ41" s="145"/>
      <c r="IK41" s="145"/>
      <c r="IL41" s="145"/>
      <c r="IM41" s="145"/>
      <c r="IN41" s="145"/>
      <c r="IO41" s="145"/>
      <c r="IP41" s="145"/>
      <c r="IQ41" s="145"/>
      <c r="IR41" s="145"/>
      <c r="IS41" s="145"/>
      <c r="IT41" s="145"/>
      <c r="IU41" s="145"/>
      <c r="IV41" s="145"/>
    </row>
    <row r="42" spans="1:256" s="122" customFormat="1" ht="12.75">
      <c r="A42" s="138"/>
      <c r="G42" s="125" t="s">
        <v>345</v>
      </c>
      <c r="I42" s="142" t="s">
        <v>244</v>
      </c>
      <c r="J42" s="162">
        <f>100^2</f>
        <v>10000</v>
      </c>
      <c r="K42" s="141" t="s">
        <v>359</v>
      </c>
      <c r="L42" s="141"/>
      <c r="M42" s="142"/>
      <c r="N42" s="176">
        <f>100^2</f>
        <v>10000</v>
      </c>
      <c r="O42" s="144"/>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145"/>
      <c r="GZ42" s="145"/>
      <c r="HA42" s="145"/>
      <c r="HB42" s="145"/>
      <c r="HC42" s="145"/>
      <c r="HD42" s="145"/>
      <c r="HE42" s="145"/>
      <c r="HF42" s="145"/>
      <c r="HG42" s="145"/>
      <c r="HH42" s="145"/>
      <c r="HI42" s="145"/>
      <c r="HJ42" s="145"/>
      <c r="HK42" s="145"/>
      <c r="HL42" s="145"/>
      <c r="HM42" s="145"/>
      <c r="HN42" s="145"/>
      <c r="HO42" s="145"/>
      <c r="HP42" s="145"/>
      <c r="HQ42" s="145"/>
      <c r="HR42" s="145"/>
      <c r="HS42" s="145"/>
      <c r="HT42" s="145"/>
      <c r="HU42" s="145"/>
      <c r="HV42" s="145"/>
      <c r="HW42" s="145"/>
      <c r="HX42" s="145"/>
      <c r="HY42" s="145"/>
      <c r="HZ42" s="145"/>
      <c r="IA42" s="145"/>
      <c r="IB42" s="145"/>
      <c r="IC42" s="145"/>
      <c r="ID42" s="145"/>
      <c r="IE42" s="145"/>
      <c r="IF42" s="145"/>
      <c r="IG42" s="145"/>
      <c r="IH42" s="145"/>
      <c r="II42" s="145"/>
      <c r="IJ42" s="145"/>
      <c r="IK42" s="145"/>
      <c r="IL42" s="145"/>
      <c r="IM42" s="145"/>
      <c r="IN42" s="145"/>
      <c r="IO42" s="145"/>
      <c r="IP42" s="145"/>
      <c r="IQ42" s="145"/>
      <c r="IR42" s="145"/>
      <c r="IS42" s="145"/>
      <c r="IT42" s="145"/>
      <c r="IU42" s="145"/>
      <c r="IV42" s="145"/>
    </row>
    <row r="43" spans="1:256" s="122" customFormat="1" ht="12.75">
      <c r="A43" s="137"/>
      <c r="I43" s="142" t="s">
        <v>247</v>
      </c>
      <c r="J43" s="143">
        <f>+J41*J42</f>
        <v>85934522372.68752</v>
      </c>
      <c r="K43" s="141" t="s">
        <v>360</v>
      </c>
      <c r="L43" s="141"/>
      <c r="M43" s="142"/>
      <c r="N43" s="143">
        <f>+N42*N41</f>
        <v>85934522372.68752</v>
      </c>
      <c r="O43" s="177" t="str">
        <f>+K43</f>
        <v>m2</v>
      </c>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c r="GT43" s="145"/>
      <c r="GU43" s="145"/>
      <c r="GV43" s="145"/>
      <c r="GW43" s="145"/>
      <c r="GX43" s="145"/>
      <c r="GY43" s="145"/>
      <c r="GZ43" s="145"/>
      <c r="HA43" s="145"/>
      <c r="HB43" s="145"/>
      <c r="HC43" s="145"/>
      <c r="HD43" s="145"/>
      <c r="HE43" s="145"/>
      <c r="HF43" s="145"/>
      <c r="HG43" s="145"/>
      <c r="HH43" s="145"/>
      <c r="HI43" s="145"/>
      <c r="HJ43" s="145"/>
      <c r="HK43" s="145"/>
      <c r="HL43" s="145"/>
      <c r="HM43" s="145"/>
      <c r="HN43" s="145"/>
      <c r="HO43" s="145"/>
      <c r="HP43" s="145"/>
      <c r="HQ43" s="145"/>
      <c r="HR43" s="145"/>
      <c r="HS43" s="145"/>
      <c r="HT43" s="145"/>
      <c r="HU43" s="145"/>
      <c r="HV43" s="145"/>
      <c r="HW43" s="145"/>
      <c r="HX43" s="145"/>
      <c r="HY43" s="145"/>
      <c r="HZ43" s="145"/>
      <c r="IA43" s="145"/>
      <c r="IB43" s="145"/>
      <c r="IC43" s="145"/>
      <c r="ID43" s="145"/>
      <c r="IE43" s="145"/>
      <c r="IF43" s="145"/>
      <c r="IG43" s="145"/>
      <c r="IH43" s="145"/>
      <c r="II43" s="145"/>
      <c r="IJ43" s="145"/>
      <c r="IK43" s="145"/>
      <c r="IL43" s="145"/>
      <c r="IM43" s="145"/>
      <c r="IN43" s="145"/>
      <c r="IO43" s="145"/>
      <c r="IP43" s="145"/>
      <c r="IQ43" s="145"/>
      <c r="IR43" s="145"/>
      <c r="IS43" s="145"/>
      <c r="IT43" s="145"/>
      <c r="IU43" s="145"/>
      <c r="IV43" s="145"/>
    </row>
    <row r="44" spans="1:256" s="122" customFormat="1" ht="12.75" customHeight="1">
      <c r="A44" s="67" t="s">
        <v>361</v>
      </c>
      <c r="B44" s="274"/>
      <c r="C44" s="274"/>
      <c r="D44" s="274"/>
      <c r="E44" s="147"/>
      <c r="F44" s="147"/>
      <c r="I44" s="142" t="s">
        <v>244</v>
      </c>
      <c r="J44" s="166">
        <f>+N35</f>
        <v>219</v>
      </c>
      <c r="K44" s="141" t="str">
        <f>+O35</f>
        <v>kwh/m2/yr</v>
      </c>
      <c r="L44" s="141"/>
      <c r="M44" s="142" t="s">
        <v>244</v>
      </c>
      <c r="N44" s="178">
        <f>+N35</f>
        <v>219</v>
      </c>
      <c r="O44" s="177" t="str">
        <f>+K44</f>
        <v>kwh/m2/yr</v>
      </c>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c r="GT44" s="145"/>
      <c r="GU44" s="145"/>
      <c r="GV44" s="145"/>
      <c r="GW44" s="145"/>
      <c r="GX44" s="145"/>
      <c r="GY44" s="145"/>
      <c r="GZ44" s="145"/>
      <c r="HA44" s="145"/>
      <c r="HB44" s="145"/>
      <c r="HC44" s="145"/>
      <c r="HD44" s="145"/>
      <c r="HE44" s="145"/>
      <c r="HF44" s="145"/>
      <c r="HG44" s="145"/>
      <c r="HH44" s="145"/>
      <c r="HI44" s="145"/>
      <c r="HJ44" s="145"/>
      <c r="HK44" s="145"/>
      <c r="HL44" s="145"/>
      <c r="HM44" s="145"/>
      <c r="HN44" s="145"/>
      <c r="HO44" s="145"/>
      <c r="HP44" s="145"/>
      <c r="HQ44" s="145"/>
      <c r="HR44" s="145"/>
      <c r="HS44" s="145"/>
      <c r="HT44" s="145"/>
      <c r="HU44" s="145"/>
      <c r="HV44" s="145"/>
      <c r="HW44" s="145"/>
      <c r="HX44" s="145"/>
      <c r="HY44" s="145"/>
      <c r="HZ44" s="145"/>
      <c r="IA44" s="145"/>
      <c r="IB44" s="145"/>
      <c r="IC44" s="145"/>
      <c r="ID44" s="145"/>
      <c r="IE44" s="145"/>
      <c r="IF44" s="145"/>
      <c r="IG44" s="145"/>
      <c r="IH44" s="145"/>
      <c r="II44" s="145"/>
      <c r="IJ44" s="145"/>
      <c r="IK44" s="145"/>
      <c r="IL44" s="145"/>
      <c r="IM44" s="145"/>
      <c r="IN44" s="145"/>
      <c r="IO44" s="145"/>
      <c r="IP44" s="145"/>
      <c r="IQ44" s="145"/>
      <c r="IR44" s="145"/>
      <c r="IS44" s="145"/>
      <c r="IT44" s="145"/>
      <c r="IU44" s="145"/>
      <c r="IV44" s="145"/>
    </row>
    <row r="45" spans="1:256" s="122" customFormat="1" ht="12.75" customHeight="1">
      <c r="A45" s="146"/>
      <c r="B45" s="147"/>
      <c r="C45" s="147"/>
      <c r="D45" s="147"/>
      <c r="E45" s="147"/>
      <c r="F45" s="147"/>
      <c r="I45" s="142" t="s">
        <v>264</v>
      </c>
      <c r="J45" s="162">
        <f>10^9</f>
        <v>1000000000</v>
      </c>
      <c r="K45" s="141" t="s">
        <v>362</v>
      </c>
      <c r="L45" s="141"/>
      <c r="M45" s="142" t="s">
        <v>264</v>
      </c>
      <c r="N45" s="176">
        <f>5800000/3413</f>
        <v>1699.3847055376502</v>
      </c>
      <c r="O45" s="144" t="s">
        <v>363</v>
      </c>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c r="GT45" s="145"/>
      <c r="GU45" s="145"/>
      <c r="GV45" s="145"/>
      <c r="GW45" s="145"/>
      <c r="GX45" s="145"/>
      <c r="GY45" s="145"/>
      <c r="GZ45" s="145"/>
      <c r="HA45" s="145"/>
      <c r="HB45" s="145"/>
      <c r="HC45" s="145"/>
      <c r="HD45" s="145"/>
      <c r="HE45" s="145"/>
      <c r="HF45" s="145"/>
      <c r="HG45" s="145"/>
      <c r="HH45" s="145"/>
      <c r="HI45" s="145"/>
      <c r="HJ45" s="145"/>
      <c r="HK45" s="145"/>
      <c r="HL45" s="145"/>
      <c r="HM45" s="145"/>
      <c r="HN45" s="145"/>
      <c r="HO45" s="145"/>
      <c r="HP45" s="145"/>
      <c r="HQ45" s="145"/>
      <c r="HR45" s="145"/>
      <c r="HS45" s="145"/>
      <c r="HT45" s="145"/>
      <c r="HU45" s="145"/>
      <c r="HV45" s="145"/>
      <c r="HW45" s="145"/>
      <c r="HX45" s="145"/>
      <c r="HY45" s="145"/>
      <c r="HZ45" s="145"/>
      <c r="IA45" s="145"/>
      <c r="IB45" s="145"/>
      <c r="IC45" s="145"/>
      <c r="ID45" s="145"/>
      <c r="IE45" s="145"/>
      <c r="IF45" s="145"/>
      <c r="IG45" s="145"/>
      <c r="IH45" s="145"/>
      <c r="II45" s="145"/>
      <c r="IJ45" s="145"/>
      <c r="IK45" s="145"/>
      <c r="IL45" s="145"/>
      <c r="IM45" s="145"/>
      <c r="IN45" s="145"/>
      <c r="IO45" s="145"/>
      <c r="IP45" s="145"/>
      <c r="IQ45" s="145"/>
      <c r="IR45" s="145"/>
      <c r="IS45" s="145"/>
      <c r="IT45" s="145"/>
      <c r="IU45" s="145"/>
      <c r="IV45" s="145"/>
    </row>
    <row r="46" spans="1:256" s="122" customFormat="1" ht="12.75" customHeight="1">
      <c r="A46" s="146"/>
      <c r="B46" s="147"/>
      <c r="C46" s="147"/>
      <c r="D46" s="147"/>
      <c r="E46" s="147"/>
      <c r="F46" s="147"/>
      <c r="I46" s="142" t="s">
        <v>247</v>
      </c>
      <c r="J46" s="143">
        <f>+J43*J44/J45</f>
        <v>18819.660399618566</v>
      </c>
      <c r="K46" s="141" t="s">
        <v>364</v>
      </c>
      <c r="L46" s="141"/>
      <c r="M46" s="142" t="s">
        <v>247</v>
      </c>
      <c r="N46" s="143">
        <f>+N43*N44/N45</f>
        <v>11074396714.4652</v>
      </c>
      <c r="O46" s="144" t="s">
        <v>365</v>
      </c>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c r="GT46" s="145"/>
      <c r="GU46" s="145"/>
      <c r="GV46" s="145"/>
      <c r="GW46" s="145"/>
      <c r="GX46" s="145"/>
      <c r="GY46" s="145"/>
      <c r="GZ46" s="145"/>
      <c r="HA46" s="145"/>
      <c r="HB46" s="145"/>
      <c r="HC46" s="145"/>
      <c r="HD46" s="145"/>
      <c r="HE46" s="145"/>
      <c r="HF46" s="145"/>
      <c r="HG46" s="145"/>
      <c r="HH46" s="145"/>
      <c r="HI46" s="145"/>
      <c r="HJ46" s="145"/>
      <c r="HK46" s="145"/>
      <c r="HL46" s="145"/>
      <c r="HM46" s="145"/>
      <c r="HN46" s="145"/>
      <c r="HO46" s="145"/>
      <c r="HP46" s="145"/>
      <c r="HQ46" s="145"/>
      <c r="HR46" s="145"/>
      <c r="HS46" s="145"/>
      <c r="HT46" s="145"/>
      <c r="HU46" s="145"/>
      <c r="HV46" s="145"/>
      <c r="HW46" s="145"/>
      <c r="HX46" s="145"/>
      <c r="HY46" s="145"/>
      <c r="HZ46" s="145"/>
      <c r="IA46" s="145"/>
      <c r="IB46" s="145"/>
      <c r="IC46" s="145"/>
      <c r="ID46" s="145"/>
      <c r="IE46" s="145"/>
      <c r="IF46" s="145"/>
      <c r="IG46" s="145"/>
      <c r="IH46" s="145"/>
      <c r="II46" s="145"/>
      <c r="IJ46" s="145"/>
      <c r="IK46" s="145"/>
      <c r="IL46" s="145"/>
      <c r="IM46" s="145"/>
      <c r="IN46" s="145"/>
      <c r="IO46" s="145"/>
      <c r="IP46" s="145"/>
      <c r="IQ46" s="145"/>
      <c r="IR46" s="145"/>
      <c r="IS46" s="145"/>
      <c r="IT46" s="145"/>
      <c r="IU46" s="145"/>
      <c r="IV46" s="145"/>
    </row>
    <row r="47" spans="1:256" s="122" customFormat="1" ht="12.75" customHeight="1">
      <c r="A47" s="146"/>
      <c r="B47" s="147"/>
      <c r="C47" s="147"/>
      <c r="D47" s="147"/>
      <c r="E47" s="147"/>
      <c r="F47" s="147"/>
      <c r="I47" s="142" t="s">
        <v>264</v>
      </c>
      <c r="J47" s="162">
        <v>8760</v>
      </c>
      <c r="K47" s="141" t="s">
        <v>366</v>
      </c>
      <c r="L47" s="141"/>
      <c r="M47" s="142" t="s">
        <v>264</v>
      </c>
      <c r="N47" s="176">
        <f>21*10^6*365</f>
        <v>7665000000</v>
      </c>
      <c r="O47" s="144" t="s">
        <v>367</v>
      </c>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c r="GT47" s="145"/>
      <c r="GU47" s="145"/>
      <c r="GV47" s="145"/>
      <c r="GW47" s="145"/>
      <c r="GX47" s="145"/>
      <c r="GY47" s="145"/>
      <c r="GZ47" s="145"/>
      <c r="HA47" s="145"/>
      <c r="HB47" s="145"/>
      <c r="HC47" s="145"/>
      <c r="HD47" s="145"/>
      <c r="HE47" s="145"/>
      <c r="HF47" s="145"/>
      <c r="HG47" s="145"/>
      <c r="HH47" s="145"/>
      <c r="HI47" s="145"/>
      <c r="HJ47" s="145"/>
      <c r="HK47" s="145"/>
      <c r="HL47" s="145"/>
      <c r="HM47" s="145"/>
      <c r="HN47" s="145"/>
      <c r="HO47" s="145"/>
      <c r="HP47" s="145"/>
      <c r="HQ47" s="145"/>
      <c r="HR47" s="145"/>
      <c r="HS47" s="145"/>
      <c r="HT47" s="145"/>
      <c r="HU47" s="145"/>
      <c r="HV47" s="145"/>
      <c r="HW47" s="145"/>
      <c r="HX47" s="145"/>
      <c r="HY47" s="145"/>
      <c r="HZ47" s="145"/>
      <c r="IA47" s="145"/>
      <c r="IB47" s="145"/>
      <c r="IC47" s="145"/>
      <c r="ID47" s="145"/>
      <c r="IE47" s="145"/>
      <c r="IF47" s="145"/>
      <c r="IG47" s="145"/>
      <c r="IH47" s="145"/>
      <c r="II47" s="145"/>
      <c r="IJ47" s="145"/>
      <c r="IK47" s="145"/>
      <c r="IL47" s="145"/>
      <c r="IM47" s="145"/>
      <c r="IN47" s="145"/>
      <c r="IO47" s="145"/>
      <c r="IP47" s="145"/>
      <c r="IQ47" s="145"/>
      <c r="IR47" s="145"/>
      <c r="IS47" s="145"/>
      <c r="IT47" s="145"/>
      <c r="IU47" s="145"/>
      <c r="IV47" s="145"/>
    </row>
    <row r="48" spans="1:256" s="122" customFormat="1" ht="12.75" customHeight="1">
      <c r="A48" s="148" t="s">
        <v>165</v>
      </c>
      <c r="B48" s="149"/>
      <c r="C48" s="149"/>
      <c r="D48" s="149"/>
      <c r="E48" s="149"/>
      <c r="F48" s="149"/>
      <c r="I48" s="142" t="s">
        <v>247</v>
      </c>
      <c r="J48" s="128">
        <f>+J46/J47</f>
        <v>2.148363059317188</v>
      </c>
      <c r="K48" s="141" t="s">
        <v>368</v>
      </c>
      <c r="L48" s="141"/>
      <c r="M48" s="142" t="s">
        <v>247</v>
      </c>
      <c r="N48" s="153">
        <f>+N46/N47</f>
        <v>1.4448006150639532</v>
      </c>
      <c r="O48" s="144" t="s">
        <v>369</v>
      </c>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c r="GT48" s="145"/>
      <c r="GU48" s="145"/>
      <c r="GV48" s="145"/>
      <c r="GW48" s="145"/>
      <c r="GX48" s="145"/>
      <c r="GY48" s="145"/>
      <c r="GZ48" s="145"/>
      <c r="HA48" s="145"/>
      <c r="HB48" s="145"/>
      <c r="HC48" s="145"/>
      <c r="HD48" s="145"/>
      <c r="HE48" s="145"/>
      <c r="HF48" s="145"/>
      <c r="HG48" s="145"/>
      <c r="HH48" s="145"/>
      <c r="HI48" s="145"/>
      <c r="HJ48" s="145"/>
      <c r="HK48" s="145"/>
      <c r="HL48" s="145"/>
      <c r="HM48" s="145"/>
      <c r="HN48" s="145"/>
      <c r="HO48" s="145"/>
      <c r="HP48" s="145"/>
      <c r="HQ48" s="145"/>
      <c r="HR48" s="145"/>
      <c r="HS48" s="145"/>
      <c r="HT48" s="145"/>
      <c r="HU48" s="145"/>
      <c r="HV48" s="145"/>
      <c r="HW48" s="145"/>
      <c r="HX48" s="145"/>
      <c r="HY48" s="145"/>
      <c r="HZ48" s="145"/>
      <c r="IA48" s="145"/>
      <c r="IB48" s="145"/>
      <c r="IC48" s="145"/>
      <c r="ID48" s="145"/>
      <c r="IE48" s="145"/>
      <c r="IF48" s="145"/>
      <c r="IG48" s="145"/>
      <c r="IH48" s="145"/>
      <c r="II48" s="145"/>
      <c r="IJ48" s="145"/>
      <c r="IK48" s="145"/>
      <c r="IL48" s="145"/>
      <c r="IM48" s="145"/>
      <c r="IN48" s="145"/>
      <c r="IO48" s="145"/>
      <c r="IP48" s="145"/>
      <c r="IQ48" s="145"/>
      <c r="IR48" s="145"/>
      <c r="IS48" s="145"/>
      <c r="IT48" s="145"/>
      <c r="IU48" s="145"/>
      <c r="IV48" s="145"/>
    </row>
    <row r="49" spans="1:256" s="122" customFormat="1" ht="70.5" customHeight="1">
      <c r="A49" s="179" t="s">
        <v>346</v>
      </c>
      <c r="B49" s="180" t="s">
        <v>19</v>
      </c>
      <c r="C49" s="180" t="s">
        <v>370</v>
      </c>
      <c r="D49" s="180" t="s">
        <v>371</v>
      </c>
      <c r="E49" s="180" t="s">
        <v>347</v>
      </c>
      <c r="F49" s="180" t="s">
        <v>352</v>
      </c>
      <c r="G49" s="181" t="s">
        <v>372</v>
      </c>
      <c r="H49" s="180" t="s">
        <v>373</v>
      </c>
      <c r="I49" s="182"/>
      <c r="J49" s="182" t="s">
        <v>577</v>
      </c>
      <c r="K49" s="130"/>
      <c r="L49" s="141"/>
      <c r="M49" s="182" t="s">
        <v>375</v>
      </c>
      <c r="N49" s="182" t="s">
        <v>374</v>
      </c>
      <c r="O49" s="184"/>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45"/>
      <c r="HW49" s="145"/>
      <c r="HX49" s="145"/>
      <c r="HY49" s="145"/>
      <c r="HZ49" s="145"/>
      <c r="IA49" s="145"/>
      <c r="IB49" s="145"/>
      <c r="IC49" s="145"/>
      <c r="ID49" s="145"/>
      <c r="IE49" s="145"/>
      <c r="IF49" s="145"/>
      <c r="IG49" s="145"/>
      <c r="IH49" s="145"/>
      <c r="II49" s="145"/>
      <c r="IJ49" s="145"/>
      <c r="IK49" s="145"/>
      <c r="IL49" s="145"/>
      <c r="IM49" s="145"/>
      <c r="IN49" s="145"/>
      <c r="IO49" s="145"/>
      <c r="IP49" s="145"/>
      <c r="IQ49" s="145"/>
      <c r="IR49" s="145"/>
      <c r="IS49" s="145"/>
      <c r="IT49" s="145"/>
      <c r="IU49" s="145"/>
      <c r="IV49" s="145"/>
    </row>
    <row r="50" spans="1:256" s="122" customFormat="1" ht="27.75" customHeight="1">
      <c r="A50" s="168"/>
      <c r="B50" s="150" t="s">
        <v>376</v>
      </c>
      <c r="C50" s="150" t="s">
        <v>151</v>
      </c>
      <c r="D50" s="150" t="s">
        <v>377</v>
      </c>
      <c r="E50" s="185" t="s">
        <v>353</v>
      </c>
      <c r="F50" s="185" t="s">
        <v>151</v>
      </c>
      <c r="G50" s="185" t="s">
        <v>151</v>
      </c>
      <c r="H50" s="186" t="s">
        <v>378</v>
      </c>
      <c r="I50" s="187" t="s">
        <v>375</v>
      </c>
      <c r="J50" s="187" t="s">
        <v>379</v>
      </c>
      <c r="K50" s="141"/>
      <c r="L50" s="141"/>
      <c r="M50" s="188"/>
      <c r="N50" s="187" t="s">
        <v>380</v>
      </c>
      <c r="O50" s="144"/>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c r="GT50" s="145"/>
      <c r="GU50" s="145"/>
      <c r="GV50" s="145"/>
      <c r="GW50" s="145"/>
      <c r="GX50" s="145"/>
      <c r="GY50" s="145"/>
      <c r="GZ50" s="145"/>
      <c r="HA50" s="145"/>
      <c r="HB50" s="145"/>
      <c r="HC50" s="145"/>
      <c r="HD50" s="145"/>
      <c r="HE50" s="145"/>
      <c r="HF50" s="145"/>
      <c r="HG50" s="145"/>
      <c r="HH50" s="145"/>
      <c r="HI50" s="145"/>
      <c r="HJ50" s="145"/>
      <c r="HK50" s="145"/>
      <c r="HL50" s="145"/>
      <c r="HM50" s="145"/>
      <c r="HN50" s="145"/>
      <c r="HO50" s="145"/>
      <c r="HP50" s="145"/>
      <c r="HQ50" s="145"/>
      <c r="HR50" s="145"/>
      <c r="HS50" s="145"/>
      <c r="HT50" s="145"/>
      <c r="HU50" s="145"/>
      <c r="HV50" s="145"/>
      <c r="HW50" s="145"/>
      <c r="HX50" s="145"/>
      <c r="HY50" s="145"/>
      <c r="HZ50" s="145"/>
      <c r="IA50" s="145"/>
      <c r="IB50" s="145"/>
      <c r="IC50" s="145"/>
      <c r="ID50" s="145"/>
      <c r="IE50" s="145"/>
      <c r="IF50" s="145"/>
      <c r="IG50" s="145"/>
      <c r="IH50" s="145"/>
      <c r="II50" s="145"/>
      <c r="IJ50" s="145"/>
      <c r="IK50" s="145"/>
      <c r="IL50" s="145"/>
      <c r="IM50" s="145"/>
      <c r="IN50" s="145"/>
      <c r="IO50" s="145"/>
      <c r="IP50" s="145"/>
      <c r="IQ50" s="145"/>
      <c r="IR50" s="145"/>
      <c r="IS50" s="145"/>
      <c r="IT50" s="145"/>
      <c r="IU50" s="145"/>
      <c r="IV50" s="145"/>
    </row>
    <row r="51" spans="1:256" s="122" customFormat="1" ht="12.75" customHeight="1">
      <c r="A51" s="148"/>
      <c r="B51" s="149"/>
      <c r="C51" s="149"/>
      <c r="D51" s="149"/>
      <c r="E51" s="149"/>
      <c r="F51" s="149"/>
      <c r="I51" s="139"/>
      <c r="J51" s="140"/>
      <c r="K51" s="141"/>
      <c r="L51" s="141"/>
      <c r="M51" s="142"/>
      <c r="N51" s="143"/>
      <c r="O51" s="144"/>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c r="GT51" s="145"/>
      <c r="GU51" s="145"/>
      <c r="GV51" s="145"/>
      <c r="GW51" s="145"/>
      <c r="GX51" s="145"/>
      <c r="GY51" s="145"/>
      <c r="GZ51" s="145"/>
      <c r="HA51" s="145"/>
      <c r="HB51" s="145"/>
      <c r="HC51" s="145"/>
      <c r="HD51" s="145"/>
      <c r="HE51" s="145"/>
      <c r="HF51" s="145"/>
      <c r="HG51" s="145"/>
      <c r="HH51" s="145"/>
      <c r="HI51" s="145"/>
      <c r="HJ51" s="145"/>
      <c r="HK51" s="145"/>
      <c r="HL51" s="145"/>
      <c r="HM51" s="145"/>
      <c r="HN51" s="145"/>
      <c r="HO51" s="145"/>
      <c r="HP51" s="145"/>
      <c r="HQ51" s="145"/>
      <c r="HR51" s="145"/>
      <c r="HS51" s="145"/>
      <c r="HT51" s="145"/>
      <c r="HU51" s="145"/>
      <c r="HV51" s="145"/>
      <c r="HW51" s="145"/>
      <c r="HX51" s="145"/>
      <c r="HY51" s="145"/>
      <c r="HZ51" s="145"/>
      <c r="IA51" s="145"/>
      <c r="IB51" s="145"/>
      <c r="IC51" s="145"/>
      <c r="ID51" s="145"/>
      <c r="IE51" s="145"/>
      <c r="IF51" s="145"/>
      <c r="IG51" s="145"/>
      <c r="IH51" s="145"/>
      <c r="II51" s="145"/>
      <c r="IJ51" s="145"/>
      <c r="IK51" s="145"/>
      <c r="IL51" s="145"/>
      <c r="IM51" s="145"/>
      <c r="IN51" s="145"/>
      <c r="IO51" s="145"/>
      <c r="IP51" s="145"/>
      <c r="IQ51" s="145"/>
      <c r="IR51" s="145"/>
      <c r="IS51" s="145"/>
      <c r="IT51" s="145"/>
      <c r="IU51" s="145"/>
      <c r="IV51" s="145"/>
    </row>
    <row r="52" spans="1:256" s="122" customFormat="1" ht="12.75" customHeight="1">
      <c r="A52" s="189" t="s">
        <v>357</v>
      </c>
      <c r="B52" s="150">
        <v>278</v>
      </c>
      <c r="C52" s="152">
        <v>915896000</v>
      </c>
      <c r="D52" s="152">
        <v>6310000</v>
      </c>
      <c r="E52" s="152">
        <v>213509100</v>
      </c>
      <c r="F52" s="152">
        <v>15919615</v>
      </c>
      <c r="G52" s="190">
        <f>F52/B52/1000000</f>
        <v>0.05726480215827338</v>
      </c>
      <c r="H52" s="191">
        <f>+F52/C52</f>
        <v>0.017381465799610436</v>
      </c>
      <c r="I52" s="139">
        <f>+J42*J44/J45/J47</f>
        <v>2.5E-07</v>
      </c>
      <c r="J52" s="140">
        <f>+I52*F52</f>
        <v>3.9799037499999996</v>
      </c>
      <c r="K52" s="192"/>
      <c r="L52" s="141"/>
      <c r="M52" s="193">
        <f>+J42*N44/N45/10^9</f>
        <v>1.288701724137931E-06</v>
      </c>
      <c r="N52" s="183">
        <f>+F52*$M$52</f>
        <v>20.51563529811207</v>
      </c>
      <c r="O52" s="144"/>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45"/>
      <c r="HW52" s="145"/>
      <c r="HX52" s="145"/>
      <c r="HY52" s="145"/>
      <c r="HZ52" s="145"/>
      <c r="IA52" s="145"/>
      <c r="IB52" s="145"/>
      <c r="IC52" s="145"/>
      <c r="ID52" s="145"/>
      <c r="IE52" s="145"/>
      <c r="IF52" s="145"/>
      <c r="IG52" s="145"/>
      <c r="IH52" s="145"/>
      <c r="II52" s="145"/>
      <c r="IJ52" s="145"/>
      <c r="IK52" s="145"/>
      <c r="IL52" s="145"/>
      <c r="IM52" s="145"/>
      <c r="IN52" s="145"/>
      <c r="IO52" s="145"/>
      <c r="IP52" s="145"/>
      <c r="IQ52" s="145"/>
      <c r="IR52" s="145"/>
      <c r="IS52" s="145"/>
      <c r="IT52" s="145"/>
      <c r="IU52" s="145"/>
      <c r="IV52" s="145"/>
    </row>
    <row r="53" spans="1:256" s="122" customFormat="1" ht="12.75" customHeight="1">
      <c r="A53" s="148"/>
      <c r="B53" s="149"/>
      <c r="C53" s="149"/>
      <c r="D53" s="149"/>
      <c r="E53" s="149"/>
      <c r="F53" s="149"/>
      <c r="H53" s="190"/>
      <c r="I53" s="139"/>
      <c r="J53" s="140"/>
      <c r="K53" s="141"/>
      <c r="L53" s="141"/>
      <c r="M53" s="142"/>
      <c r="N53" s="183"/>
      <c r="O53" s="144"/>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c r="GT53" s="145"/>
      <c r="GU53" s="145"/>
      <c r="GV53" s="145"/>
      <c r="GW53" s="145"/>
      <c r="GX53" s="145"/>
      <c r="GY53" s="145"/>
      <c r="GZ53" s="145"/>
      <c r="HA53" s="145"/>
      <c r="HB53" s="145"/>
      <c r="HC53" s="145"/>
      <c r="HD53" s="145"/>
      <c r="HE53" s="145"/>
      <c r="HF53" s="145"/>
      <c r="HG53" s="145"/>
      <c r="HH53" s="145"/>
      <c r="HI53" s="145"/>
      <c r="HJ53" s="145"/>
      <c r="HK53" s="145"/>
      <c r="HL53" s="145"/>
      <c r="HM53" s="145"/>
      <c r="HN53" s="145"/>
      <c r="HO53" s="145"/>
      <c r="HP53" s="145"/>
      <c r="HQ53" s="145"/>
      <c r="HR53" s="145"/>
      <c r="HS53" s="145"/>
      <c r="HT53" s="145"/>
      <c r="HU53" s="145"/>
      <c r="HV53" s="145"/>
      <c r="HW53" s="145"/>
      <c r="HX53" s="145"/>
      <c r="HY53" s="145"/>
      <c r="HZ53" s="145"/>
      <c r="IA53" s="145"/>
      <c r="IB53" s="145"/>
      <c r="IC53" s="145"/>
      <c r="ID53" s="145"/>
      <c r="IE53" s="145"/>
      <c r="IF53" s="145"/>
      <c r="IG53" s="145"/>
      <c r="IH53" s="145"/>
      <c r="II53" s="145"/>
      <c r="IJ53" s="145"/>
      <c r="IK53" s="145"/>
      <c r="IL53" s="145"/>
      <c r="IM53" s="145"/>
      <c r="IN53" s="145"/>
      <c r="IO53" s="145"/>
      <c r="IP53" s="145"/>
      <c r="IQ53" s="145"/>
      <c r="IR53" s="145"/>
      <c r="IS53" s="145"/>
      <c r="IT53" s="145"/>
      <c r="IU53" s="145"/>
      <c r="IV53" s="145"/>
    </row>
    <row r="54" spans="1:256" s="122" customFormat="1" ht="12.75" customHeight="1">
      <c r="A54" s="148" t="s">
        <v>191</v>
      </c>
      <c r="B54" s="150">
        <v>31</v>
      </c>
      <c r="C54" s="152">
        <v>922097000</v>
      </c>
      <c r="D54" s="152">
        <v>902000</v>
      </c>
      <c r="E54" s="152">
        <v>17262358</v>
      </c>
      <c r="F54" s="152">
        <v>2275656</v>
      </c>
      <c r="G54" s="190">
        <f>F54/B54/1000000</f>
        <v>0.07340825806451613</v>
      </c>
      <c r="H54" s="191">
        <f>+F54/C54</f>
        <v>0.002467913896260372</v>
      </c>
      <c r="I54" s="139"/>
      <c r="J54" s="140">
        <f>+$I$52*F54</f>
        <v>0.5689139999999999</v>
      </c>
      <c r="K54" s="141"/>
      <c r="L54" s="141"/>
      <c r="M54" s="287"/>
      <c r="N54" s="183">
        <f>+F54*$M$52</f>
        <v>2.9326418107448275</v>
      </c>
      <c r="O54" s="144"/>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c r="GT54" s="145"/>
      <c r="GU54" s="145"/>
      <c r="GV54" s="145"/>
      <c r="GW54" s="145"/>
      <c r="GX54" s="145"/>
      <c r="GY54" s="145"/>
      <c r="GZ54" s="145"/>
      <c r="HA54" s="145"/>
      <c r="HB54" s="145"/>
      <c r="HC54" s="145"/>
      <c r="HD54" s="145"/>
      <c r="HE54" s="145"/>
      <c r="HF54" s="145"/>
      <c r="HG54" s="145"/>
      <c r="HH54" s="145"/>
      <c r="HI54" s="145"/>
      <c r="HJ54" s="145"/>
      <c r="HK54" s="145"/>
      <c r="HL54" s="145"/>
      <c r="HM54" s="145"/>
      <c r="HN54" s="145"/>
      <c r="HO54" s="145"/>
      <c r="HP54" s="145"/>
      <c r="HQ54" s="145"/>
      <c r="HR54" s="145"/>
      <c r="HS54" s="145"/>
      <c r="HT54" s="145"/>
      <c r="HU54" s="145"/>
      <c r="HV54" s="145"/>
      <c r="HW54" s="145"/>
      <c r="HX54" s="145"/>
      <c r="HY54" s="145"/>
      <c r="HZ54" s="145"/>
      <c r="IA54" s="145"/>
      <c r="IB54" s="145"/>
      <c r="IC54" s="145"/>
      <c r="ID54" s="145"/>
      <c r="IE54" s="145"/>
      <c r="IF54" s="145"/>
      <c r="IG54" s="145"/>
      <c r="IH54" s="145"/>
      <c r="II54" s="145"/>
      <c r="IJ54" s="145"/>
      <c r="IK54" s="145"/>
      <c r="IL54" s="145"/>
      <c r="IM54" s="145"/>
      <c r="IN54" s="145"/>
      <c r="IO54" s="145"/>
      <c r="IP54" s="145"/>
      <c r="IQ54" s="145"/>
      <c r="IR54" s="145"/>
      <c r="IS54" s="145"/>
      <c r="IT54" s="145"/>
      <c r="IU54" s="145"/>
      <c r="IV54" s="145"/>
    </row>
    <row r="55" spans="1:256" s="122" customFormat="1" ht="12.75" customHeight="1">
      <c r="A55" s="148" t="s">
        <v>200</v>
      </c>
      <c r="B55" s="150">
        <v>99</v>
      </c>
      <c r="C55" s="152">
        <v>192304000</v>
      </c>
      <c r="D55" s="152">
        <v>342000</v>
      </c>
      <c r="E55" s="152">
        <v>7850000</v>
      </c>
      <c r="F55" s="152">
        <v>862832</v>
      </c>
      <c r="G55" s="190">
        <f>F55/B55/1000000</f>
        <v>0.008715474747474748</v>
      </c>
      <c r="H55" s="191">
        <f>+F55/C55</f>
        <v>0.004486812546800899</v>
      </c>
      <c r="I55" s="139"/>
      <c r="J55" s="140">
        <f>+$I$52*F55</f>
        <v>0.21570799999999998</v>
      </c>
      <c r="K55" s="141"/>
      <c r="L55" s="141"/>
      <c r="M55" s="287"/>
      <c r="N55" s="183">
        <f>+F55*$M$52</f>
        <v>1.1119330860413792</v>
      </c>
      <c r="O55" s="144"/>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45"/>
      <c r="HW55" s="145"/>
      <c r="HX55" s="145"/>
      <c r="HY55" s="145"/>
      <c r="HZ55" s="145"/>
      <c r="IA55" s="145"/>
      <c r="IB55" s="145"/>
      <c r="IC55" s="145"/>
      <c r="ID55" s="145"/>
      <c r="IE55" s="145"/>
      <c r="IF55" s="145"/>
      <c r="IG55" s="145"/>
      <c r="IH55" s="145"/>
      <c r="II55" s="145"/>
      <c r="IJ55" s="145"/>
      <c r="IK55" s="145"/>
      <c r="IL55" s="145"/>
      <c r="IM55" s="145"/>
      <c r="IN55" s="145"/>
      <c r="IO55" s="145"/>
      <c r="IP55" s="145"/>
      <c r="IQ55" s="145"/>
      <c r="IR55" s="145"/>
      <c r="IS55" s="145"/>
      <c r="IT55" s="145"/>
      <c r="IU55" s="145"/>
      <c r="IV55" s="145"/>
    </row>
    <row r="56" spans="1:256" s="122" customFormat="1" ht="12.75" customHeight="1">
      <c r="A56" s="148"/>
      <c r="B56" s="149"/>
      <c r="C56" s="149"/>
      <c r="D56" s="149"/>
      <c r="E56" s="149"/>
      <c r="F56" s="149"/>
      <c r="G56" s="190"/>
      <c r="H56" s="191"/>
      <c r="I56" s="139"/>
      <c r="J56" s="140"/>
      <c r="K56" s="141"/>
      <c r="L56" s="141"/>
      <c r="M56" s="287"/>
      <c r="N56" s="183"/>
      <c r="O56" s="144"/>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45"/>
      <c r="HW56" s="145"/>
      <c r="HX56" s="145"/>
      <c r="HY56" s="145"/>
      <c r="HZ56" s="145"/>
      <c r="IA56" s="145"/>
      <c r="IB56" s="145"/>
      <c r="IC56" s="145"/>
      <c r="ID56" s="145"/>
      <c r="IE56" s="145"/>
      <c r="IF56" s="145"/>
      <c r="IG56" s="145"/>
      <c r="IH56" s="145"/>
      <c r="II56" s="145"/>
      <c r="IJ56" s="145"/>
      <c r="IK56" s="145"/>
      <c r="IL56" s="145"/>
      <c r="IM56" s="145"/>
      <c r="IN56" s="145"/>
      <c r="IO56" s="145"/>
      <c r="IP56" s="145"/>
      <c r="IQ56" s="145"/>
      <c r="IR56" s="145"/>
      <c r="IS56" s="145"/>
      <c r="IT56" s="145"/>
      <c r="IU56" s="145"/>
      <c r="IV56" s="145"/>
    </row>
    <row r="57" spans="1:256" s="122" customFormat="1" ht="12.75" customHeight="1">
      <c r="A57" s="148" t="s">
        <v>381</v>
      </c>
      <c r="B57" s="150">
        <v>127</v>
      </c>
      <c r="C57" s="152">
        <v>37474400</v>
      </c>
      <c r="D57" s="152">
        <v>1152000</v>
      </c>
      <c r="E57" s="152">
        <v>71722762</v>
      </c>
      <c r="F57" s="152">
        <v>1316591</v>
      </c>
      <c r="G57" s="190">
        <f>F57/B57/1000000</f>
        <v>0.010366858267716536</v>
      </c>
      <c r="H57" s="191">
        <f>+F57/C57</f>
        <v>0.035133077514249725</v>
      </c>
      <c r="I57" s="139"/>
      <c r="J57" s="140">
        <f>+$I$52*F57</f>
        <v>0.32914774999999996</v>
      </c>
      <c r="K57" s="141"/>
      <c r="L57" s="141"/>
      <c r="M57" s="287"/>
      <c r="N57" s="183">
        <f>+F57*$M$52</f>
        <v>1.6966930916844827</v>
      </c>
      <c r="O57" s="144"/>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c r="GT57" s="145"/>
      <c r="GU57" s="145"/>
      <c r="GV57" s="145"/>
      <c r="GW57" s="145"/>
      <c r="GX57" s="145"/>
      <c r="GY57" s="145"/>
      <c r="GZ57" s="145"/>
      <c r="HA57" s="145"/>
      <c r="HB57" s="145"/>
      <c r="HC57" s="145"/>
      <c r="HD57" s="145"/>
      <c r="HE57" s="145"/>
      <c r="HF57" s="145"/>
      <c r="HG57" s="145"/>
      <c r="HH57" s="145"/>
      <c r="HI57" s="145"/>
      <c r="HJ57" s="145"/>
      <c r="HK57" s="145"/>
      <c r="HL57" s="145"/>
      <c r="HM57" s="145"/>
      <c r="HN57" s="145"/>
      <c r="HO57" s="145"/>
      <c r="HP57" s="145"/>
      <c r="HQ57" s="145"/>
      <c r="HR57" s="145"/>
      <c r="HS57" s="145"/>
      <c r="HT57" s="145"/>
      <c r="HU57" s="145"/>
      <c r="HV57" s="145"/>
      <c r="HW57" s="145"/>
      <c r="HX57" s="145"/>
      <c r="HY57" s="145"/>
      <c r="HZ57" s="145"/>
      <c r="IA57" s="145"/>
      <c r="IB57" s="145"/>
      <c r="IC57" s="145"/>
      <c r="ID57" s="145"/>
      <c r="IE57" s="145"/>
      <c r="IF57" s="145"/>
      <c r="IG57" s="145"/>
      <c r="IH57" s="145"/>
      <c r="II57" s="145"/>
      <c r="IJ57" s="145"/>
      <c r="IK57" s="145"/>
      <c r="IL57" s="145"/>
      <c r="IM57" s="145"/>
      <c r="IN57" s="145"/>
      <c r="IO57" s="145"/>
      <c r="IP57" s="145"/>
      <c r="IQ57" s="145"/>
      <c r="IR57" s="145"/>
      <c r="IS57" s="145"/>
      <c r="IT57" s="145"/>
      <c r="IU57" s="145"/>
      <c r="IV57" s="145"/>
    </row>
    <row r="58" spans="1:256" s="122" customFormat="1" ht="12.75" customHeight="1">
      <c r="A58" s="148" t="s">
        <v>382</v>
      </c>
      <c r="B58" s="150">
        <v>59</v>
      </c>
      <c r="C58" s="152">
        <v>54563000</v>
      </c>
      <c r="D58" s="152">
        <v>893000</v>
      </c>
      <c r="E58" s="152">
        <v>33089000</v>
      </c>
      <c r="F58" s="152">
        <v>1020586</v>
      </c>
      <c r="G58" s="190">
        <f>F58/B58/1000000</f>
        <v>0.017298067796610167</v>
      </c>
      <c r="H58" s="191">
        <f>+F58/C58</f>
        <v>0.018704726646262118</v>
      </c>
      <c r="I58" s="139"/>
      <c r="J58" s="140">
        <f>+$I$52*F58</f>
        <v>0.2551465</v>
      </c>
      <c r="K58" s="141"/>
      <c r="L58" s="141"/>
      <c r="M58" s="287"/>
      <c r="N58" s="183">
        <f>+F58*$M$52</f>
        <v>1.3152309378310345</v>
      </c>
      <c r="O58" s="144"/>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c r="GT58" s="145"/>
      <c r="GU58" s="145"/>
      <c r="GV58" s="145"/>
      <c r="GW58" s="145"/>
      <c r="GX58" s="145"/>
      <c r="GY58" s="145"/>
      <c r="GZ58" s="145"/>
      <c r="HA58" s="145"/>
      <c r="HB58" s="145"/>
      <c r="HC58" s="145"/>
      <c r="HD58" s="145"/>
      <c r="HE58" s="145"/>
      <c r="HF58" s="145"/>
      <c r="HG58" s="145"/>
      <c r="HH58" s="145"/>
      <c r="HI58" s="145"/>
      <c r="HJ58" s="145"/>
      <c r="HK58" s="145"/>
      <c r="HL58" s="145"/>
      <c r="HM58" s="145"/>
      <c r="HN58" s="145"/>
      <c r="HO58" s="145"/>
      <c r="HP58" s="145"/>
      <c r="HQ58" s="145"/>
      <c r="HR58" s="145"/>
      <c r="HS58" s="145"/>
      <c r="HT58" s="145"/>
      <c r="HU58" s="145"/>
      <c r="HV58" s="145"/>
      <c r="HW58" s="145"/>
      <c r="HX58" s="145"/>
      <c r="HY58" s="145"/>
      <c r="HZ58" s="145"/>
      <c r="IA58" s="145"/>
      <c r="IB58" s="145"/>
      <c r="IC58" s="145"/>
      <c r="ID58" s="145"/>
      <c r="IE58" s="145"/>
      <c r="IF58" s="145"/>
      <c r="IG58" s="145"/>
      <c r="IH58" s="145"/>
      <c r="II58" s="145"/>
      <c r="IJ58" s="145"/>
      <c r="IK58" s="145"/>
      <c r="IL58" s="145"/>
      <c r="IM58" s="145"/>
      <c r="IN58" s="145"/>
      <c r="IO58" s="145"/>
      <c r="IP58" s="145"/>
      <c r="IQ58" s="145"/>
      <c r="IR58" s="145"/>
      <c r="IS58" s="145"/>
      <c r="IT58" s="145"/>
      <c r="IU58" s="145"/>
      <c r="IV58" s="145"/>
    </row>
    <row r="59" spans="1:256" s="122" customFormat="1" ht="12.75" customHeight="1">
      <c r="A59" s="148" t="s">
        <v>383</v>
      </c>
      <c r="B59" s="150">
        <v>82</v>
      </c>
      <c r="C59" s="152">
        <v>34922300</v>
      </c>
      <c r="D59" s="152">
        <v>656000</v>
      </c>
      <c r="E59" s="152">
        <v>45793265</v>
      </c>
      <c r="F59" s="152">
        <v>749725</v>
      </c>
      <c r="G59" s="190">
        <f>F59/B59/1000000</f>
        <v>0.009142987804878048</v>
      </c>
      <c r="H59" s="191">
        <f>+F59/C59</f>
        <v>0.02146837407616337</v>
      </c>
      <c r="I59" s="139"/>
      <c r="J59" s="140">
        <f>+$I$52*F59</f>
        <v>0.18743125</v>
      </c>
      <c r="K59" s="141"/>
      <c r="L59" s="141"/>
      <c r="M59" s="287"/>
      <c r="N59" s="183">
        <f>+F59*$M$52</f>
        <v>0.9661719001293103</v>
      </c>
      <c r="O59" s="144"/>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c r="GT59" s="145"/>
      <c r="GU59" s="145"/>
      <c r="GV59" s="145"/>
      <c r="GW59" s="145"/>
      <c r="GX59" s="145"/>
      <c r="GY59" s="145"/>
      <c r="GZ59" s="145"/>
      <c r="HA59" s="145"/>
      <c r="HB59" s="145"/>
      <c r="HC59" s="145"/>
      <c r="HD59" s="145"/>
      <c r="HE59" s="145"/>
      <c r="HF59" s="145"/>
      <c r="HG59" s="145"/>
      <c r="HH59" s="145"/>
      <c r="HI59" s="145"/>
      <c r="HJ59" s="145"/>
      <c r="HK59" s="145"/>
      <c r="HL59" s="145"/>
      <c r="HM59" s="145"/>
      <c r="HN59" s="145"/>
      <c r="HO59" s="145"/>
      <c r="HP59" s="145"/>
      <c r="HQ59" s="145"/>
      <c r="HR59" s="145"/>
      <c r="HS59" s="145"/>
      <c r="HT59" s="145"/>
      <c r="HU59" s="145"/>
      <c r="HV59" s="145"/>
      <c r="HW59" s="145"/>
      <c r="HX59" s="145"/>
      <c r="HY59" s="145"/>
      <c r="HZ59" s="145"/>
      <c r="IA59" s="145"/>
      <c r="IB59" s="145"/>
      <c r="IC59" s="145"/>
      <c r="ID59" s="145"/>
      <c r="IE59" s="145"/>
      <c r="IF59" s="145"/>
      <c r="IG59" s="145"/>
      <c r="IH59" s="145"/>
      <c r="II59" s="145"/>
      <c r="IJ59" s="145"/>
      <c r="IK59" s="145"/>
      <c r="IL59" s="145"/>
      <c r="IM59" s="145"/>
      <c r="IN59" s="145"/>
      <c r="IO59" s="145"/>
      <c r="IP59" s="145"/>
      <c r="IQ59" s="145"/>
      <c r="IR59" s="145"/>
      <c r="IS59" s="145"/>
      <c r="IT59" s="145"/>
      <c r="IU59" s="145"/>
      <c r="IV59" s="145"/>
    </row>
    <row r="60" spans="1:256" s="122" customFormat="1" ht="12.75" customHeight="1">
      <c r="A60" s="148" t="s">
        <v>384</v>
      </c>
      <c r="B60" s="150">
        <v>59</v>
      </c>
      <c r="C60" s="152">
        <v>24159000</v>
      </c>
      <c r="D60" s="152">
        <v>372000</v>
      </c>
      <c r="E60" s="152">
        <v>30931191</v>
      </c>
      <c r="F60" s="152">
        <v>425149</v>
      </c>
      <c r="G60" s="190">
        <f>F60/B60/1000000</f>
        <v>0.007205915254237289</v>
      </c>
      <c r="H60" s="191">
        <f>+F60/C60</f>
        <v>0.017597955213378036</v>
      </c>
      <c r="I60" s="139"/>
      <c r="J60" s="140">
        <f>+$I$52*F60</f>
        <v>0.10628725</v>
      </c>
      <c r="K60" s="141"/>
      <c r="L60" s="141"/>
      <c r="M60" s="287"/>
      <c r="N60" s="183">
        <f>+F60*$M$52</f>
        <v>0.5478902493155172</v>
      </c>
      <c r="O60" s="144"/>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c r="GT60" s="145"/>
      <c r="GU60" s="145"/>
      <c r="GV60" s="145"/>
      <c r="GW60" s="145"/>
      <c r="GX60" s="145"/>
      <c r="GY60" s="145"/>
      <c r="GZ60" s="145"/>
      <c r="HA60" s="145"/>
      <c r="HB60" s="145"/>
      <c r="HC60" s="145"/>
      <c r="HD60" s="145"/>
      <c r="HE60" s="145"/>
      <c r="HF60" s="145"/>
      <c r="HG60" s="145"/>
      <c r="HH60" s="145"/>
      <c r="HI60" s="145"/>
      <c r="HJ60" s="145"/>
      <c r="HK60" s="145"/>
      <c r="HL60" s="145"/>
      <c r="HM60" s="145"/>
      <c r="HN60" s="145"/>
      <c r="HO60" s="145"/>
      <c r="HP60" s="145"/>
      <c r="HQ60" s="145"/>
      <c r="HR60" s="145"/>
      <c r="HS60" s="145"/>
      <c r="HT60" s="145"/>
      <c r="HU60" s="145"/>
      <c r="HV60" s="145"/>
      <c r="HW60" s="145"/>
      <c r="HX60" s="145"/>
      <c r="HY60" s="145"/>
      <c r="HZ60" s="145"/>
      <c r="IA60" s="145"/>
      <c r="IB60" s="145"/>
      <c r="IC60" s="145"/>
      <c r="ID60" s="145"/>
      <c r="IE60" s="145"/>
      <c r="IF60" s="145"/>
      <c r="IG60" s="145"/>
      <c r="IH60" s="145"/>
      <c r="II60" s="145"/>
      <c r="IJ60" s="145"/>
      <c r="IK60" s="145"/>
      <c r="IL60" s="145"/>
      <c r="IM60" s="145"/>
      <c r="IN60" s="145"/>
      <c r="IO60" s="145"/>
      <c r="IP60" s="145"/>
      <c r="IQ60" s="145"/>
      <c r="IR60" s="145"/>
      <c r="IS60" s="145"/>
      <c r="IT60" s="145"/>
      <c r="IU60" s="145"/>
      <c r="IV60" s="145"/>
    </row>
    <row r="61" spans="1:256" s="122" customFormat="1" ht="12.75" customHeight="1">
      <c r="A61" s="148" t="s">
        <v>385</v>
      </c>
      <c r="B61" s="150">
        <v>9</v>
      </c>
      <c r="C61" s="152">
        <v>41093400</v>
      </c>
      <c r="D61" s="152">
        <v>211000</v>
      </c>
      <c r="E61" s="152">
        <v>4259027</v>
      </c>
      <c r="F61" s="152">
        <v>241146</v>
      </c>
      <c r="G61" s="190">
        <f>F61/B61/1000000</f>
        <v>0.026794</v>
      </c>
      <c r="H61" s="191">
        <f>+F61/C61</f>
        <v>0.005868241615441896</v>
      </c>
      <c r="I61" s="139"/>
      <c r="J61" s="140">
        <f>+$I$52*F61</f>
        <v>0.0602865</v>
      </c>
      <c r="K61" s="141"/>
      <c r="L61" s="141"/>
      <c r="M61" s="287"/>
      <c r="N61" s="183">
        <f>+F61*$M$52</f>
        <v>0.31076526596896553</v>
      </c>
      <c r="O61" s="144"/>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c r="GT61" s="145"/>
      <c r="GU61" s="145"/>
      <c r="GV61" s="145"/>
      <c r="GW61" s="145"/>
      <c r="GX61" s="145"/>
      <c r="GY61" s="145"/>
      <c r="GZ61" s="145"/>
      <c r="HA61" s="145"/>
      <c r="HB61" s="145"/>
      <c r="HC61" s="145"/>
      <c r="HD61" s="145"/>
      <c r="HE61" s="145"/>
      <c r="HF61" s="145"/>
      <c r="HG61" s="145"/>
      <c r="HH61" s="145"/>
      <c r="HI61" s="145"/>
      <c r="HJ61" s="145"/>
      <c r="HK61" s="145"/>
      <c r="HL61" s="145"/>
      <c r="HM61" s="145"/>
      <c r="HN61" s="145"/>
      <c r="HO61" s="145"/>
      <c r="HP61" s="145"/>
      <c r="HQ61" s="145"/>
      <c r="HR61" s="145"/>
      <c r="HS61" s="145"/>
      <c r="HT61" s="145"/>
      <c r="HU61" s="145"/>
      <c r="HV61" s="145"/>
      <c r="HW61" s="145"/>
      <c r="HX61" s="145"/>
      <c r="HY61" s="145"/>
      <c r="HZ61" s="145"/>
      <c r="IA61" s="145"/>
      <c r="IB61" s="145"/>
      <c r="IC61" s="145"/>
      <c r="ID61" s="145"/>
      <c r="IE61" s="145"/>
      <c r="IF61" s="145"/>
      <c r="IG61" s="145"/>
      <c r="IH61" s="145"/>
      <c r="II61" s="145"/>
      <c r="IJ61" s="145"/>
      <c r="IK61" s="145"/>
      <c r="IL61" s="145"/>
      <c r="IM61" s="145"/>
      <c r="IN61" s="145"/>
      <c r="IO61" s="145"/>
      <c r="IP61" s="145"/>
      <c r="IQ61" s="145"/>
      <c r="IR61" s="145"/>
      <c r="IS61" s="145"/>
      <c r="IT61" s="145"/>
      <c r="IU61" s="145"/>
      <c r="IV61" s="145"/>
    </row>
    <row r="62" spans="1:256" s="122" customFormat="1" ht="12.75">
      <c r="A62" s="138"/>
      <c r="H62" s="139"/>
      <c r="I62" s="139"/>
      <c r="J62" s="140"/>
      <c r="K62" s="141"/>
      <c r="L62" s="141"/>
      <c r="M62" s="287"/>
      <c r="N62" s="140"/>
      <c r="O62" s="144"/>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c r="GT62" s="145"/>
      <c r="GU62" s="145"/>
      <c r="GV62" s="145"/>
      <c r="GW62" s="145"/>
      <c r="GX62" s="145"/>
      <c r="GY62" s="145"/>
      <c r="GZ62" s="145"/>
      <c r="HA62" s="145"/>
      <c r="HB62" s="145"/>
      <c r="HC62" s="145"/>
      <c r="HD62" s="145"/>
      <c r="HE62" s="145"/>
      <c r="HF62" s="145"/>
      <c r="HG62" s="145"/>
      <c r="HH62" s="145"/>
      <c r="HI62" s="145"/>
      <c r="HJ62" s="145"/>
      <c r="HK62" s="145"/>
      <c r="HL62" s="145"/>
      <c r="HM62" s="145"/>
      <c r="HN62" s="145"/>
      <c r="HO62" s="145"/>
      <c r="HP62" s="145"/>
      <c r="HQ62" s="145"/>
      <c r="HR62" s="145"/>
      <c r="HS62" s="145"/>
      <c r="HT62" s="145"/>
      <c r="HU62" s="145"/>
      <c r="HV62" s="145"/>
      <c r="HW62" s="145"/>
      <c r="HX62" s="145"/>
      <c r="HY62" s="145"/>
      <c r="HZ62" s="145"/>
      <c r="IA62" s="145"/>
      <c r="IB62" s="145"/>
      <c r="IC62" s="145"/>
      <c r="ID62" s="145"/>
      <c r="IE62" s="145"/>
      <c r="IF62" s="145"/>
      <c r="IG62" s="145"/>
      <c r="IH62" s="145"/>
      <c r="II62" s="145"/>
      <c r="IJ62" s="145"/>
      <c r="IK62" s="145"/>
      <c r="IL62" s="145"/>
      <c r="IM62" s="145"/>
      <c r="IN62" s="145"/>
      <c r="IO62" s="145"/>
      <c r="IP62" s="145"/>
      <c r="IQ62" s="145"/>
      <c r="IR62" s="145"/>
      <c r="IS62" s="145"/>
      <c r="IT62" s="145"/>
      <c r="IU62" s="145"/>
      <c r="IV62" s="145"/>
    </row>
    <row r="63" spans="1:256" s="122" customFormat="1" ht="12.75">
      <c r="A63" s="138"/>
      <c r="H63" s="139"/>
      <c r="I63" s="139"/>
      <c r="J63" s="140"/>
      <c r="K63" s="141"/>
      <c r="L63" s="141"/>
      <c r="M63" s="287"/>
      <c r="N63" s="183"/>
      <c r="O63" s="144"/>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c r="GT63" s="145"/>
      <c r="GU63" s="145"/>
      <c r="GV63" s="145"/>
      <c r="GW63" s="145"/>
      <c r="GX63" s="145"/>
      <c r="GY63" s="145"/>
      <c r="GZ63" s="145"/>
      <c r="HA63" s="145"/>
      <c r="HB63" s="145"/>
      <c r="HC63" s="145"/>
      <c r="HD63" s="145"/>
      <c r="HE63" s="145"/>
      <c r="HF63" s="145"/>
      <c r="HG63" s="145"/>
      <c r="HH63" s="145"/>
      <c r="HI63" s="145"/>
      <c r="HJ63" s="145"/>
      <c r="HK63" s="145"/>
      <c r="HL63" s="145"/>
      <c r="HM63" s="145"/>
      <c r="HN63" s="145"/>
      <c r="HO63" s="145"/>
      <c r="HP63" s="145"/>
      <c r="HQ63" s="145"/>
      <c r="HR63" s="145"/>
      <c r="HS63" s="145"/>
      <c r="HT63" s="145"/>
      <c r="HU63" s="145"/>
      <c r="HV63" s="145"/>
      <c r="HW63" s="145"/>
      <c r="HX63" s="145"/>
      <c r="HY63" s="145"/>
      <c r="HZ63" s="145"/>
      <c r="IA63" s="145"/>
      <c r="IB63" s="145"/>
      <c r="IC63" s="145"/>
      <c r="ID63" s="145"/>
      <c r="IE63" s="145"/>
      <c r="IF63" s="145"/>
      <c r="IG63" s="145"/>
      <c r="IH63" s="145"/>
      <c r="II63" s="145"/>
      <c r="IJ63" s="145"/>
      <c r="IK63" s="145"/>
      <c r="IL63" s="145"/>
      <c r="IM63" s="145"/>
      <c r="IN63" s="145"/>
      <c r="IO63" s="145"/>
      <c r="IP63" s="145"/>
      <c r="IQ63" s="145"/>
      <c r="IR63" s="145"/>
      <c r="IS63" s="145"/>
      <c r="IT63" s="145"/>
      <c r="IU63" s="145"/>
      <c r="IV63" s="145"/>
    </row>
    <row r="64" spans="1:256" s="122" customFormat="1" ht="12.75">
      <c r="A64" s="137"/>
      <c r="H64" s="139"/>
      <c r="I64" s="139"/>
      <c r="J64" s="140"/>
      <c r="K64" s="141"/>
      <c r="L64" s="141"/>
      <c r="M64" s="287"/>
      <c r="N64" s="143"/>
      <c r="O64" s="144"/>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c r="GT64" s="145"/>
      <c r="GU64" s="145"/>
      <c r="GV64" s="145"/>
      <c r="GW64" s="145"/>
      <c r="GX64" s="145"/>
      <c r="GY64" s="145"/>
      <c r="GZ64" s="145"/>
      <c r="HA64" s="145"/>
      <c r="HB64" s="145"/>
      <c r="HC64" s="145"/>
      <c r="HD64" s="145"/>
      <c r="HE64" s="145"/>
      <c r="HF64" s="145"/>
      <c r="HG64" s="145"/>
      <c r="HH64" s="145"/>
      <c r="HI64" s="145"/>
      <c r="HJ64" s="145"/>
      <c r="HK64" s="145"/>
      <c r="HL64" s="145"/>
      <c r="HM64" s="145"/>
      <c r="HN64" s="145"/>
      <c r="HO64" s="145"/>
      <c r="HP64" s="145"/>
      <c r="HQ64" s="145"/>
      <c r="HR64" s="145"/>
      <c r="HS64" s="145"/>
      <c r="HT64" s="145"/>
      <c r="HU64" s="145"/>
      <c r="HV64" s="145"/>
      <c r="HW64" s="145"/>
      <c r="HX64" s="145"/>
      <c r="HY64" s="145"/>
      <c r="HZ64" s="145"/>
      <c r="IA64" s="145"/>
      <c r="IB64" s="145"/>
      <c r="IC64" s="145"/>
      <c r="ID64" s="145"/>
      <c r="IE64" s="145"/>
      <c r="IF64" s="145"/>
      <c r="IG64" s="145"/>
      <c r="IH64" s="145"/>
      <c r="II64" s="145"/>
      <c r="IJ64" s="145"/>
      <c r="IK64" s="145"/>
      <c r="IL64" s="145"/>
      <c r="IM64" s="145"/>
      <c r="IN64" s="145"/>
      <c r="IO64" s="145"/>
      <c r="IP64" s="145"/>
      <c r="IQ64" s="145"/>
      <c r="IR64" s="145"/>
      <c r="IS64" s="145"/>
      <c r="IT64" s="145"/>
      <c r="IU64" s="145"/>
      <c r="IV64" s="145"/>
    </row>
    <row r="65" spans="1:256" s="122" customFormat="1" ht="28.5" customHeight="1">
      <c r="A65" s="275" t="s">
        <v>386</v>
      </c>
      <c r="B65" s="276"/>
      <c r="C65" s="276"/>
      <c r="D65" s="276"/>
      <c r="E65" s="147"/>
      <c r="F65" s="147"/>
      <c r="G65" s="147"/>
      <c r="H65" s="139"/>
      <c r="I65" s="139"/>
      <c r="J65" s="140"/>
      <c r="K65" s="141"/>
      <c r="L65" s="141"/>
      <c r="M65" s="142"/>
      <c r="N65" s="143"/>
      <c r="O65" s="144"/>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c r="GM65" s="145"/>
      <c r="GN65" s="145"/>
      <c r="GO65" s="145"/>
      <c r="GP65" s="145"/>
      <c r="GQ65" s="145"/>
      <c r="GR65" s="145"/>
      <c r="GS65" s="145"/>
      <c r="GT65" s="145"/>
      <c r="GU65" s="145"/>
      <c r="GV65" s="145"/>
      <c r="GW65" s="145"/>
      <c r="GX65" s="145"/>
      <c r="GY65" s="145"/>
      <c r="GZ65" s="145"/>
      <c r="HA65" s="145"/>
      <c r="HB65" s="145"/>
      <c r="HC65" s="145"/>
      <c r="HD65" s="145"/>
      <c r="HE65" s="145"/>
      <c r="HF65" s="145"/>
      <c r="HG65" s="145"/>
      <c r="HH65" s="145"/>
      <c r="HI65" s="145"/>
      <c r="HJ65" s="145"/>
      <c r="HK65" s="145"/>
      <c r="HL65" s="145"/>
      <c r="HM65" s="145"/>
      <c r="HN65" s="145"/>
      <c r="HO65" s="145"/>
      <c r="HP65" s="145"/>
      <c r="HQ65" s="145"/>
      <c r="HR65" s="145"/>
      <c r="HS65" s="145"/>
      <c r="HT65" s="145"/>
      <c r="HU65" s="145"/>
      <c r="HV65" s="145"/>
      <c r="HW65" s="145"/>
      <c r="HX65" s="145"/>
      <c r="HY65" s="145"/>
      <c r="HZ65" s="145"/>
      <c r="IA65" s="145"/>
      <c r="IB65" s="145"/>
      <c r="IC65" s="145"/>
      <c r="ID65" s="145"/>
      <c r="IE65" s="145"/>
      <c r="IF65" s="145"/>
      <c r="IG65" s="145"/>
      <c r="IH65" s="145"/>
      <c r="II65" s="145"/>
      <c r="IJ65" s="145"/>
      <c r="IK65" s="145"/>
      <c r="IL65" s="145"/>
      <c r="IM65" s="145"/>
      <c r="IN65" s="145"/>
      <c r="IO65" s="145"/>
      <c r="IP65" s="145"/>
      <c r="IQ65" s="145"/>
      <c r="IR65" s="145"/>
      <c r="IS65" s="145"/>
      <c r="IT65" s="145"/>
      <c r="IU65" s="145"/>
      <c r="IV65" s="145"/>
    </row>
    <row r="66" spans="1:256" s="122" customFormat="1" ht="15" customHeight="1">
      <c r="A66" s="148" t="s">
        <v>165</v>
      </c>
      <c r="B66" s="149"/>
      <c r="C66" s="149"/>
      <c r="D66" s="149"/>
      <c r="E66" s="149"/>
      <c r="F66" s="149"/>
      <c r="G66" s="149"/>
      <c r="H66" s="139"/>
      <c r="I66" s="139"/>
      <c r="J66" s="140"/>
      <c r="K66" s="141"/>
      <c r="L66" s="141"/>
      <c r="M66" s="142"/>
      <c r="N66" s="143"/>
      <c r="O66" s="144"/>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c r="GT66" s="145"/>
      <c r="GU66" s="145"/>
      <c r="GV66" s="145"/>
      <c r="GW66" s="145"/>
      <c r="GX66" s="145"/>
      <c r="GY66" s="145"/>
      <c r="GZ66" s="145"/>
      <c r="HA66" s="145"/>
      <c r="HB66" s="145"/>
      <c r="HC66" s="145"/>
      <c r="HD66" s="145"/>
      <c r="HE66" s="145"/>
      <c r="HF66" s="145"/>
      <c r="HG66" s="145"/>
      <c r="HH66" s="145"/>
      <c r="HI66" s="145"/>
      <c r="HJ66" s="145"/>
      <c r="HK66" s="145"/>
      <c r="HL66" s="145"/>
      <c r="HM66" s="145"/>
      <c r="HN66" s="145"/>
      <c r="HO66" s="145"/>
      <c r="HP66" s="145"/>
      <c r="HQ66" s="145"/>
      <c r="HR66" s="145"/>
      <c r="HS66" s="145"/>
      <c r="HT66" s="145"/>
      <c r="HU66" s="145"/>
      <c r="HV66" s="145"/>
      <c r="HW66" s="145"/>
      <c r="HX66" s="145"/>
      <c r="HY66" s="145"/>
      <c r="HZ66" s="145"/>
      <c r="IA66" s="145"/>
      <c r="IB66" s="145"/>
      <c r="IC66" s="145"/>
      <c r="ID66" s="145"/>
      <c r="IE66" s="145"/>
      <c r="IF66" s="145"/>
      <c r="IG66" s="145"/>
      <c r="IH66" s="145"/>
      <c r="II66" s="145"/>
      <c r="IJ66" s="145"/>
      <c r="IK66" s="145"/>
      <c r="IL66" s="145"/>
      <c r="IM66" s="145"/>
      <c r="IN66" s="145"/>
      <c r="IO66" s="145"/>
      <c r="IP66" s="145"/>
      <c r="IQ66" s="145"/>
      <c r="IR66" s="145"/>
      <c r="IS66" s="145"/>
      <c r="IT66" s="145"/>
      <c r="IU66" s="145"/>
      <c r="IV66" s="145"/>
    </row>
    <row r="67" spans="1:256" s="122" customFormat="1" ht="97.5" customHeight="1">
      <c r="A67" s="168" t="s">
        <v>346</v>
      </c>
      <c r="B67" s="150" t="s">
        <v>387</v>
      </c>
      <c r="C67" s="150" t="s">
        <v>388</v>
      </c>
      <c r="D67" s="150" t="s">
        <v>371</v>
      </c>
      <c r="E67" s="150" t="s">
        <v>389</v>
      </c>
      <c r="F67" s="150" t="s">
        <v>390</v>
      </c>
      <c r="G67" s="150" t="s">
        <v>391</v>
      </c>
      <c r="H67" s="139"/>
      <c r="I67" s="139"/>
      <c r="J67" s="140"/>
      <c r="K67" s="141"/>
      <c r="L67" s="141"/>
      <c r="M67" s="142"/>
      <c r="N67" s="143"/>
      <c r="O67" s="144"/>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c r="GT67" s="145"/>
      <c r="GU67" s="145"/>
      <c r="GV67" s="145"/>
      <c r="GW67" s="145"/>
      <c r="GX67" s="145"/>
      <c r="GY67" s="145"/>
      <c r="GZ67" s="145"/>
      <c r="HA67" s="145"/>
      <c r="HB67" s="145"/>
      <c r="HC67" s="145"/>
      <c r="HD67" s="145"/>
      <c r="HE67" s="145"/>
      <c r="HF67" s="145"/>
      <c r="HG67" s="145"/>
      <c r="HH67" s="145"/>
      <c r="HI67" s="145"/>
      <c r="HJ67" s="145"/>
      <c r="HK67" s="145"/>
      <c r="HL67" s="145"/>
      <c r="HM67" s="145"/>
      <c r="HN67" s="145"/>
      <c r="HO67" s="145"/>
      <c r="HP67" s="145"/>
      <c r="HQ67" s="145"/>
      <c r="HR67" s="145"/>
      <c r="HS67" s="145"/>
      <c r="HT67" s="145"/>
      <c r="HU67" s="145"/>
      <c r="HV67" s="145"/>
      <c r="HW67" s="145"/>
      <c r="HX67" s="145"/>
      <c r="HY67" s="145"/>
      <c r="HZ67" s="145"/>
      <c r="IA67" s="145"/>
      <c r="IB67" s="145"/>
      <c r="IC67" s="145"/>
      <c r="ID67" s="145"/>
      <c r="IE67" s="145"/>
      <c r="IF67" s="145"/>
      <c r="IG67" s="145"/>
      <c r="IH67" s="145"/>
      <c r="II67" s="145"/>
      <c r="IJ67" s="145"/>
      <c r="IK67" s="145"/>
      <c r="IL67" s="145"/>
      <c r="IM67" s="145"/>
      <c r="IN67" s="145"/>
      <c r="IO67" s="145"/>
      <c r="IP67" s="145"/>
      <c r="IQ67" s="145"/>
      <c r="IR67" s="145"/>
      <c r="IS67" s="145"/>
      <c r="IT67" s="145"/>
      <c r="IU67" s="145"/>
      <c r="IV67" s="145"/>
    </row>
    <row r="68" spans="1:256" s="122" customFormat="1" ht="44.25" customHeight="1">
      <c r="A68" s="168"/>
      <c r="B68" s="185" t="s">
        <v>353</v>
      </c>
      <c r="C68" s="185" t="s">
        <v>392</v>
      </c>
      <c r="D68" s="185" t="s">
        <v>377</v>
      </c>
      <c r="E68" s="185" t="s">
        <v>151</v>
      </c>
      <c r="F68" s="185" t="s">
        <v>353</v>
      </c>
      <c r="G68" s="185" t="s">
        <v>151</v>
      </c>
      <c r="H68" s="194"/>
      <c r="I68" s="185" t="s">
        <v>393</v>
      </c>
      <c r="J68" s="195" t="s">
        <v>394</v>
      </c>
      <c r="K68" s="141"/>
      <c r="L68" s="141"/>
      <c r="M68" s="185" t="s">
        <v>393</v>
      </c>
      <c r="N68" s="195" t="s">
        <v>394</v>
      </c>
      <c r="O68" s="144"/>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c r="GT68" s="145"/>
      <c r="GU68" s="145"/>
      <c r="GV68" s="145"/>
      <c r="GW68" s="145"/>
      <c r="GX68" s="145"/>
      <c r="GY68" s="145"/>
      <c r="GZ68" s="145"/>
      <c r="HA68" s="145"/>
      <c r="HB68" s="145"/>
      <c r="HC68" s="145"/>
      <c r="HD68" s="145"/>
      <c r="HE68" s="145"/>
      <c r="HF68" s="145"/>
      <c r="HG68" s="145"/>
      <c r="HH68" s="145"/>
      <c r="HI68" s="145"/>
      <c r="HJ68" s="145"/>
      <c r="HK68" s="145"/>
      <c r="HL68" s="145"/>
      <c r="HM68" s="145"/>
      <c r="HN68" s="145"/>
      <c r="HO68" s="145"/>
      <c r="HP68" s="145"/>
      <c r="HQ68" s="145"/>
      <c r="HR68" s="145"/>
      <c r="HS68" s="145"/>
      <c r="HT68" s="145"/>
      <c r="HU68" s="145"/>
      <c r="HV68" s="145"/>
      <c r="HW68" s="145"/>
      <c r="HX68" s="145"/>
      <c r="HY68" s="145"/>
      <c r="HZ68" s="145"/>
      <c r="IA68" s="145"/>
      <c r="IB68" s="145"/>
      <c r="IC68" s="145"/>
      <c r="ID68" s="145"/>
      <c r="IE68" s="145"/>
      <c r="IF68" s="145"/>
      <c r="IG68" s="145"/>
      <c r="IH68" s="145"/>
      <c r="II68" s="145"/>
      <c r="IJ68" s="145"/>
      <c r="IK68" s="145"/>
      <c r="IL68" s="145"/>
      <c r="IM68" s="145"/>
      <c r="IN68" s="145"/>
      <c r="IO68" s="145"/>
      <c r="IP68" s="145"/>
      <c r="IQ68" s="145"/>
      <c r="IR68" s="145"/>
      <c r="IS68" s="145"/>
      <c r="IT68" s="145"/>
      <c r="IU68" s="145"/>
      <c r="IV68" s="145"/>
    </row>
    <row r="69" spans="1:256" s="122" customFormat="1" ht="15" customHeight="1">
      <c r="A69" s="148"/>
      <c r="B69" s="149"/>
      <c r="C69" s="149"/>
      <c r="D69" s="149"/>
      <c r="E69" s="149"/>
      <c r="F69" s="149"/>
      <c r="G69" s="149"/>
      <c r="H69" s="139"/>
      <c r="I69" s="139"/>
      <c r="J69" s="140"/>
      <c r="K69" s="141"/>
      <c r="L69" s="141"/>
      <c r="M69" s="142"/>
      <c r="N69" s="143"/>
      <c r="O69" s="144"/>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c r="GT69" s="145"/>
      <c r="GU69" s="145"/>
      <c r="GV69" s="145"/>
      <c r="GW69" s="145"/>
      <c r="GX69" s="145"/>
      <c r="GY69" s="145"/>
      <c r="GZ69" s="145"/>
      <c r="HA69" s="145"/>
      <c r="HB69" s="145"/>
      <c r="HC69" s="145"/>
      <c r="HD69" s="145"/>
      <c r="HE69" s="145"/>
      <c r="HF69" s="145"/>
      <c r="HG69" s="145"/>
      <c r="HH69" s="145"/>
      <c r="HI69" s="145"/>
      <c r="HJ69" s="145"/>
      <c r="HK69" s="145"/>
      <c r="HL69" s="145"/>
      <c r="HM69" s="145"/>
      <c r="HN69" s="145"/>
      <c r="HO69" s="145"/>
      <c r="HP69" s="145"/>
      <c r="HQ69" s="145"/>
      <c r="HR69" s="145"/>
      <c r="HS69" s="145"/>
      <c r="HT69" s="145"/>
      <c r="HU69" s="145"/>
      <c r="HV69" s="145"/>
      <c r="HW69" s="145"/>
      <c r="HX69" s="145"/>
      <c r="HY69" s="145"/>
      <c r="HZ69" s="145"/>
      <c r="IA69" s="145"/>
      <c r="IB69" s="145"/>
      <c r="IC69" s="145"/>
      <c r="ID69" s="145"/>
      <c r="IE69" s="145"/>
      <c r="IF69" s="145"/>
      <c r="IG69" s="145"/>
      <c r="IH69" s="145"/>
      <c r="II69" s="145"/>
      <c r="IJ69" s="145"/>
      <c r="IK69" s="145"/>
      <c r="IL69" s="145"/>
      <c r="IM69" s="145"/>
      <c r="IN69" s="145"/>
      <c r="IO69" s="145"/>
      <c r="IP69" s="145"/>
      <c r="IQ69" s="145"/>
      <c r="IR69" s="145"/>
      <c r="IS69" s="145"/>
      <c r="IT69" s="145"/>
      <c r="IU69" s="145"/>
      <c r="IV69" s="145"/>
    </row>
    <row r="70" spans="1:256" s="122" customFormat="1" ht="15" customHeight="1">
      <c r="A70" s="148" t="s">
        <v>198</v>
      </c>
      <c r="B70" s="152">
        <v>8200000</v>
      </c>
      <c r="C70" s="150">
        <v>8</v>
      </c>
      <c r="D70" s="152">
        <v>3319614</v>
      </c>
      <c r="E70" s="152">
        <v>3793900</v>
      </c>
      <c r="F70" s="152">
        <v>512500000</v>
      </c>
      <c r="G70" s="152">
        <v>10250000</v>
      </c>
      <c r="H70" s="139"/>
      <c r="I70" s="140">
        <f>+$I$52*E70</f>
        <v>0.948475</v>
      </c>
      <c r="J70" s="140">
        <f>+$I$52*G70</f>
        <v>2.5625</v>
      </c>
      <c r="K70" s="141"/>
      <c r="L70" s="141"/>
      <c r="M70" s="183">
        <f>+E70*$M$52</f>
        <v>4.889205471206896</v>
      </c>
      <c r="N70" s="183">
        <f>+G70*$M$52</f>
        <v>13.209192672413792</v>
      </c>
      <c r="O70" s="144"/>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c r="GM70" s="145"/>
      <c r="GN70" s="145"/>
      <c r="GO70" s="145"/>
      <c r="GP70" s="145"/>
      <c r="GQ70" s="145"/>
      <c r="GR70" s="145"/>
      <c r="GS70" s="145"/>
      <c r="GT70" s="145"/>
      <c r="GU70" s="145"/>
      <c r="GV70" s="145"/>
      <c r="GW70" s="145"/>
      <c r="GX70" s="145"/>
      <c r="GY70" s="145"/>
      <c r="GZ70" s="145"/>
      <c r="HA70" s="145"/>
      <c r="HB70" s="145"/>
      <c r="HC70" s="145"/>
      <c r="HD70" s="145"/>
      <c r="HE70" s="145"/>
      <c r="HF70" s="145"/>
      <c r="HG70" s="145"/>
      <c r="HH70" s="145"/>
      <c r="HI70" s="145"/>
      <c r="HJ70" s="145"/>
      <c r="HK70" s="145"/>
      <c r="HL70" s="145"/>
      <c r="HM70" s="145"/>
      <c r="HN70" s="145"/>
      <c r="HO70" s="145"/>
      <c r="HP70" s="145"/>
      <c r="HQ70" s="145"/>
      <c r="HR70" s="145"/>
      <c r="HS70" s="145"/>
      <c r="HT70" s="145"/>
      <c r="HU70" s="145"/>
      <c r="HV70" s="145"/>
      <c r="HW70" s="145"/>
      <c r="HX70" s="145"/>
      <c r="HY70" s="145"/>
      <c r="HZ70" s="145"/>
      <c r="IA70" s="145"/>
      <c r="IB70" s="145"/>
      <c r="IC70" s="145"/>
      <c r="ID70" s="145"/>
      <c r="IE70" s="145"/>
      <c r="IF70" s="145"/>
      <c r="IG70" s="145"/>
      <c r="IH70" s="145"/>
      <c r="II70" s="145"/>
      <c r="IJ70" s="145"/>
      <c r="IK70" s="145"/>
      <c r="IL70" s="145"/>
      <c r="IM70" s="145"/>
      <c r="IN70" s="145"/>
      <c r="IO70" s="145"/>
      <c r="IP70" s="145"/>
      <c r="IQ70" s="145"/>
      <c r="IR70" s="145"/>
      <c r="IS70" s="145"/>
      <c r="IT70" s="145"/>
      <c r="IU70" s="145"/>
      <c r="IV70" s="145"/>
    </row>
    <row r="71" spans="1:256" s="122" customFormat="1" ht="15" customHeight="1">
      <c r="A71" s="148"/>
      <c r="B71" s="149"/>
      <c r="C71" s="149"/>
      <c r="D71" s="149"/>
      <c r="E71" s="149" t="s">
        <v>165</v>
      </c>
      <c r="F71" s="149" t="s">
        <v>165</v>
      </c>
      <c r="G71" s="149" t="s">
        <v>165</v>
      </c>
      <c r="H71" s="139"/>
      <c r="I71" s="139"/>
      <c r="J71" s="140"/>
      <c r="K71" s="141"/>
      <c r="L71" s="141"/>
      <c r="M71" s="142"/>
      <c r="N71" s="143"/>
      <c r="O71" s="144"/>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c r="GM71" s="145"/>
      <c r="GN71" s="145"/>
      <c r="GO71" s="145"/>
      <c r="GP71" s="145"/>
      <c r="GQ71" s="145"/>
      <c r="GR71" s="145"/>
      <c r="GS71" s="145"/>
      <c r="GT71" s="145"/>
      <c r="GU71" s="145"/>
      <c r="GV71" s="145"/>
      <c r="GW71" s="145"/>
      <c r="GX71" s="145"/>
      <c r="GY71" s="145"/>
      <c r="GZ71" s="145"/>
      <c r="HA71" s="145"/>
      <c r="HB71" s="145"/>
      <c r="HC71" s="145"/>
      <c r="HD71" s="145"/>
      <c r="HE71" s="145"/>
      <c r="HF71" s="145"/>
      <c r="HG71" s="145"/>
      <c r="HH71" s="145"/>
      <c r="HI71" s="145"/>
      <c r="HJ71" s="145"/>
      <c r="HK71" s="145"/>
      <c r="HL71" s="145"/>
      <c r="HM71" s="145"/>
      <c r="HN71" s="145"/>
      <c r="HO71" s="145"/>
      <c r="HP71" s="145"/>
      <c r="HQ71" s="145"/>
      <c r="HR71" s="145"/>
      <c r="HS71" s="145"/>
      <c r="HT71" s="145"/>
      <c r="HU71" s="145"/>
      <c r="HV71" s="145"/>
      <c r="HW71" s="145"/>
      <c r="HX71" s="145"/>
      <c r="HY71" s="145"/>
      <c r="HZ71" s="145"/>
      <c r="IA71" s="145"/>
      <c r="IB71" s="145"/>
      <c r="IC71" s="145"/>
      <c r="ID71" s="145"/>
      <c r="IE71" s="145"/>
      <c r="IF71" s="145"/>
      <c r="IG71" s="145"/>
      <c r="IH71" s="145"/>
      <c r="II71" s="145"/>
      <c r="IJ71" s="145"/>
      <c r="IK71" s="145"/>
      <c r="IL71" s="145"/>
      <c r="IM71" s="145"/>
      <c r="IN71" s="145"/>
      <c r="IO71" s="145"/>
      <c r="IP71" s="145"/>
      <c r="IQ71" s="145"/>
      <c r="IR71" s="145"/>
      <c r="IS71" s="145"/>
      <c r="IT71" s="145"/>
      <c r="IU71" s="145"/>
      <c r="IV71" s="145"/>
    </row>
    <row r="72" spans="1:256" s="122" customFormat="1" ht="15" customHeight="1">
      <c r="A72" s="148" t="s">
        <v>193</v>
      </c>
      <c r="B72" s="152">
        <v>12800000</v>
      </c>
      <c r="C72" s="150">
        <v>10</v>
      </c>
      <c r="D72" s="152">
        <v>1210000</v>
      </c>
      <c r="E72" s="152">
        <v>1382877</v>
      </c>
      <c r="F72" s="152">
        <v>640000000</v>
      </c>
      <c r="G72" s="152">
        <v>12800000</v>
      </c>
      <c r="H72" s="139"/>
      <c r="I72" s="140">
        <f>+$I$52*E72</f>
        <v>0.34571925</v>
      </c>
      <c r="J72" s="140">
        <f>+$I$52*G72</f>
        <v>3.1999999999999997</v>
      </c>
      <c r="K72" s="141"/>
      <c r="L72" s="141"/>
      <c r="M72" s="183">
        <f>+E72*$M$52</f>
        <v>1.7821159741706896</v>
      </c>
      <c r="N72" s="183">
        <f>+G72*$M$52</f>
        <v>16.495382068965515</v>
      </c>
      <c r="O72" s="144"/>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c r="GT72" s="145"/>
      <c r="GU72" s="145"/>
      <c r="GV72" s="145"/>
      <c r="GW72" s="145"/>
      <c r="GX72" s="145"/>
      <c r="GY72" s="145"/>
      <c r="GZ72" s="145"/>
      <c r="HA72" s="145"/>
      <c r="HB72" s="145"/>
      <c r="HC72" s="145"/>
      <c r="HD72" s="145"/>
      <c r="HE72" s="145"/>
      <c r="HF72" s="145"/>
      <c r="HG72" s="145"/>
      <c r="HH72" s="145"/>
      <c r="HI72" s="145"/>
      <c r="HJ72" s="145"/>
      <c r="HK72" s="145"/>
      <c r="HL72" s="145"/>
      <c r="HM72" s="145"/>
      <c r="HN72" s="145"/>
      <c r="HO72" s="145"/>
      <c r="HP72" s="145"/>
      <c r="HQ72" s="145"/>
      <c r="HR72" s="145"/>
      <c r="HS72" s="145"/>
      <c r="HT72" s="145"/>
      <c r="HU72" s="145"/>
      <c r="HV72" s="145"/>
      <c r="HW72" s="145"/>
      <c r="HX72" s="145"/>
      <c r="HY72" s="145"/>
      <c r="HZ72" s="145"/>
      <c r="IA72" s="145"/>
      <c r="IB72" s="145"/>
      <c r="IC72" s="145"/>
      <c r="ID72" s="145"/>
      <c r="IE72" s="145"/>
      <c r="IF72" s="145"/>
      <c r="IG72" s="145"/>
      <c r="IH72" s="145"/>
      <c r="II72" s="145"/>
      <c r="IJ72" s="145"/>
      <c r="IK72" s="145"/>
      <c r="IL72" s="145"/>
      <c r="IM72" s="145"/>
      <c r="IN72" s="145"/>
      <c r="IO72" s="145"/>
      <c r="IP72" s="145"/>
      <c r="IQ72" s="145"/>
      <c r="IR72" s="145"/>
      <c r="IS72" s="145"/>
      <c r="IT72" s="145"/>
      <c r="IU72" s="145"/>
      <c r="IV72" s="145"/>
    </row>
    <row r="73" spans="1:256" s="122" customFormat="1" ht="12.75">
      <c r="A73" s="138"/>
      <c r="H73" s="139"/>
      <c r="I73" s="139"/>
      <c r="J73" s="139"/>
      <c r="K73" s="141"/>
      <c r="L73" s="141"/>
      <c r="M73" s="196"/>
      <c r="N73" s="197"/>
      <c r="O73" s="198"/>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45"/>
      <c r="GI73" s="145"/>
      <c r="GJ73" s="145"/>
      <c r="GK73" s="145"/>
      <c r="GL73" s="145"/>
      <c r="GM73" s="145"/>
      <c r="GN73" s="145"/>
      <c r="GO73" s="145"/>
      <c r="GP73" s="145"/>
      <c r="GQ73" s="145"/>
      <c r="GR73" s="145"/>
      <c r="GS73" s="145"/>
      <c r="GT73" s="145"/>
      <c r="GU73" s="145"/>
      <c r="GV73" s="145"/>
      <c r="GW73" s="145"/>
      <c r="GX73" s="145"/>
      <c r="GY73" s="145"/>
      <c r="GZ73" s="145"/>
      <c r="HA73" s="145"/>
      <c r="HB73" s="145"/>
      <c r="HC73" s="145"/>
      <c r="HD73" s="145"/>
      <c r="HE73" s="145"/>
      <c r="HF73" s="145"/>
      <c r="HG73" s="145"/>
      <c r="HH73" s="145"/>
      <c r="HI73" s="145"/>
      <c r="HJ73" s="145"/>
      <c r="HK73" s="145"/>
      <c r="HL73" s="145"/>
      <c r="HM73" s="145"/>
      <c r="HN73" s="145"/>
      <c r="HO73" s="145"/>
      <c r="HP73" s="145"/>
      <c r="HQ73" s="145"/>
      <c r="HR73" s="145"/>
      <c r="HS73" s="145"/>
      <c r="HT73" s="145"/>
      <c r="HU73" s="145"/>
      <c r="HV73" s="145"/>
      <c r="HW73" s="145"/>
      <c r="HX73" s="145"/>
      <c r="HY73" s="145"/>
      <c r="HZ73" s="145"/>
      <c r="IA73" s="145"/>
      <c r="IB73" s="145"/>
      <c r="IC73" s="145"/>
      <c r="ID73" s="145"/>
      <c r="IE73" s="145"/>
      <c r="IF73" s="145"/>
      <c r="IG73" s="145"/>
      <c r="IH73" s="145"/>
      <c r="II73" s="145"/>
      <c r="IJ73" s="145"/>
      <c r="IK73" s="145"/>
      <c r="IL73" s="145"/>
      <c r="IM73" s="145"/>
      <c r="IN73" s="145"/>
      <c r="IO73" s="145"/>
      <c r="IP73" s="145"/>
      <c r="IQ73" s="145"/>
      <c r="IR73" s="145"/>
      <c r="IS73" s="145"/>
      <c r="IT73" s="145"/>
      <c r="IU73" s="145"/>
      <c r="IV73" s="145"/>
    </row>
    <row r="74" spans="1:256" s="122" customFormat="1" ht="12.75">
      <c r="A74" s="199" t="s">
        <v>395</v>
      </c>
      <c r="H74" s="139"/>
      <c r="I74" s="139"/>
      <c r="J74" s="139"/>
      <c r="K74" s="141"/>
      <c r="L74" s="141"/>
      <c r="M74" s="200"/>
      <c r="N74" s="201"/>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c r="GT74" s="145"/>
      <c r="GU74" s="145"/>
      <c r="GV74" s="145"/>
      <c r="GW74" s="145"/>
      <c r="GX74" s="145"/>
      <c r="GY74" s="145"/>
      <c r="GZ74" s="145"/>
      <c r="HA74" s="145"/>
      <c r="HB74" s="145"/>
      <c r="HC74" s="145"/>
      <c r="HD74" s="145"/>
      <c r="HE74" s="145"/>
      <c r="HF74" s="145"/>
      <c r="HG74" s="145"/>
      <c r="HH74" s="145"/>
      <c r="HI74" s="145"/>
      <c r="HJ74" s="145"/>
      <c r="HK74" s="145"/>
      <c r="HL74" s="145"/>
      <c r="HM74" s="145"/>
      <c r="HN74" s="145"/>
      <c r="HO74" s="145"/>
      <c r="HP74" s="145"/>
      <c r="HQ74" s="145"/>
      <c r="HR74" s="145"/>
      <c r="HS74" s="145"/>
      <c r="HT74" s="145"/>
      <c r="HU74" s="145"/>
      <c r="HV74" s="145"/>
      <c r="HW74" s="145"/>
      <c r="HX74" s="145"/>
      <c r="HY74" s="145"/>
      <c r="HZ74" s="145"/>
      <c r="IA74" s="145"/>
      <c r="IB74" s="145"/>
      <c r="IC74" s="145"/>
      <c r="ID74" s="145"/>
      <c r="IE74" s="145"/>
      <c r="IF74" s="145"/>
      <c r="IG74" s="145"/>
      <c r="IH74" s="145"/>
      <c r="II74" s="145"/>
      <c r="IJ74" s="145"/>
      <c r="IK74" s="145"/>
      <c r="IL74" s="145"/>
      <c r="IM74" s="145"/>
      <c r="IN74" s="145"/>
      <c r="IO74" s="145"/>
      <c r="IP74" s="145"/>
      <c r="IQ74" s="145"/>
      <c r="IR74" s="145"/>
      <c r="IS74" s="145"/>
      <c r="IT74" s="145"/>
      <c r="IU74" s="145"/>
      <c r="IV74" s="145"/>
    </row>
    <row r="75" spans="1:256" s="122" customFormat="1" ht="12.75">
      <c r="A75" s="138" t="s">
        <v>396</v>
      </c>
      <c r="H75" s="139"/>
      <c r="I75" s="139"/>
      <c r="J75" s="139"/>
      <c r="K75" s="141"/>
      <c r="L75" s="141"/>
      <c r="M75" s="200"/>
      <c r="N75" s="201"/>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c r="GM75" s="145"/>
      <c r="GN75" s="145"/>
      <c r="GO75" s="145"/>
      <c r="GP75" s="145"/>
      <c r="GQ75" s="145"/>
      <c r="GR75" s="145"/>
      <c r="GS75" s="145"/>
      <c r="GT75" s="145"/>
      <c r="GU75" s="145"/>
      <c r="GV75" s="145"/>
      <c r="GW75" s="145"/>
      <c r="GX75" s="145"/>
      <c r="GY75" s="145"/>
      <c r="GZ75" s="145"/>
      <c r="HA75" s="145"/>
      <c r="HB75" s="145"/>
      <c r="HC75" s="145"/>
      <c r="HD75" s="145"/>
      <c r="HE75" s="145"/>
      <c r="HF75" s="145"/>
      <c r="HG75" s="145"/>
      <c r="HH75" s="145"/>
      <c r="HI75" s="145"/>
      <c r="HJ75" s="145"/>
      <c r="HK75" s="145"/>
      <c r="HL75" s="145"/>
      <c r="HM75" s="145"/>
      <c r="HN75" s="145"/>
      <c r="HO75" s="145"/>
      <c r="HP75" s="145"/>
      <c r="HQ75" s="145"/>
      <c r="HR75" s="145"/>
      <c r="HS75" s="145"/>
      <c r="HT75" s="145"/>
      <c r="HU75" s="145"/>
      <c r="HV75" s="145"/>
      <c r="HW75" s="145"/>
      <c r="HX75" s="145"/>
      <c r="HY75" s="145"/>
      <c r="HZ75" s="145"/>
      <c r="IA75" s="145"/>
      <c r="IB75" s="145"/>
      <c r="IC75" s="145"/>
      <c r="ID75" s="145"/>
      <c r="IE75" s="145"/>
      <c r="IF75" s="145"/>
      <c r="IG75" s="145"/>
      <c r="IH75" s="145"/>
      <c r="II75" s="145"/>
      <c r="IJ75" s="145"/>
      <c r="IK75" s="145"/>
      <c r="IL75" s="145"/>
      <c r="IM75" s="145"/>
      <c r="IN75" s="145"/>
      <c r="IO75" s="145"/>
      <c r="IP75" s="145"/>
      <c r="IQ75" s="145"/>
      <c r="IR75" s="145"/>
      <c r="IS75" s="145"/>
      <c r="IT75" s="145"/>
      <c r="IU75" s="145"/>
      <c r="IV75" s="145"/>
    </row>
    <row r="76" spans="1:256" s="122" customFormat="1" ht="12.75">
      <c r="A76" s="138" t="s">
        <v>397</v>
      </c>
      <c r="H76" s="139"/>
      <c r="I76" s="139"/>
      <c r="J76" s="139"/>
      <c r="K76" s="141"/>
      <c r="L76" s="141"/>
      <c r="M76" s="200"/>
      <c r="N76" s="201"/>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c r="GM76" s="145"/>
      <c r="GN76" s="145"/>
      <c r="GO76" s="145"/>
      <c r="GP76" s="145"/>
      <c r="GQ76" s="145"/>
      <c r="GR76" s="145"/>
      <c r="GS76" s="145"/>
      <c r="GT76" s="145"/>
      <c r="GU76" s="145"/>
      <c r="GV76" s="145"/>
      <c r="GW76" s="145"/>
      <c r="GX76" s="145"/>
      <c r="GY76" s="145"/>
      <c r="GZ76" s="145"/>
      <c r="HA76" s="145"/>
      <c r="HB76" s="145"/>
      <c r="HC76" s="145"/>
      <c r="HD76" s="145"/>
      <c r="HE76" s="145"/>
      <c r="HF76" s="145"/>
      <c r="HG76" s="145"/>
      <c r="HH76" s="145"/>
      <c r="HI76" s="145"/>
      <c r="HJ76" s="145"/>
      <c r="HK76" s="145"/>
      <c r="HL76" s="145"/>
      <c r="HM76" s="145"/>
      <c r="HN76" s="145"/>
      <c r="HO76" s="145"/>
      <c r="HP76" s="145"/>
      <c r="HQ76" s="145"/>
      <c r="HR76" s="145"/>
      <c r="HS76" s="145"/>
      <c r="HT76" s="145"/>
      <c r="HU76" s="145"/>
      <c r="HV76" s="145"/>
      <c r="HW76" s="145"/>
      <c r="HX76" s="145"/>
      <c r="HY76" s="145"/>
      <c r="HZ76" s="145"/>
      <c r="IA76" s="145"/>
      <c r="IB76" s="145"/>
      <c r="IC76" s="145"/>
      <c r="ID76" s="145"/>
      <c r="IE76" s="145"/>
      <c r="IF76" s="145"/>
      <c r="IG76" s="145"/>
      <c r="IH76" s="145"/>
      <c r="II76" s="145"/>
      <c r="IJ76" s="145"/>
      <c r="IK76" s="145"/>
      <c r="IL76" s="145"/>
      <c r="IM76" s="145"/>
      <c r="IN76" s="145"/>
      <c r="IO76" s="145"/>
      <c r="IP76" s="145"/>
      <c r="IQ76" s="145"/>
      <c r="IR76" s="145"/>
      <c r="IS76" s="145"/>
      <c r="IT76" s="145"/>
      <c r="IU76" s="145"/>
      <c r="IV76" s="145"/>
    </row>
    <row r="77" spans="1:256" s="122" customFormat="1" ht="12.75">
      <c r="A77" s="138"/>
      <c r="H77" s="139"/>
      <c r="I77" s="139"/>
      <c r="J77" s="139"/>
      <c r="K77" s="141"/>
      <c r="L77" s="141"/>
      <c r="M77" s="200"/>
      <c r="N77" s="201"/>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45"/>
      <c r="EZ77" s="145"/>
      <c r="FA77" s="145"/>
      <c r="FB77" s="145"/>
      <c r="FC77" s="145"/>
      <c r="FD77" s="145"/>
      <c r="FE77" s="145"/>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145"/>
      <c r="GI77" s="145"/>
      <c r="GJ77" s="145"/>
      <c r="GK77" s="145"/>
      <c r="GL77" s="145"/>
      <c r="GM77" s="145"/>
      <c r="GN77" s="145"/>
      <c r="GO77" s="145"/>
      <c r="GP77" s="145"/>
      <c r="GQ77" s="145"/>
      <c r="GR77" s="145"/>
      <c r="GS77" s="145"/>
      <c r="GT77" s="145"/>
      <c r="GU77" s="145"/>
      <c r="GV77" s="145"/>
      <c r="GW77" s="145"/>
      <c r="GX77" s="145"/>
      <c r="GY77" s="145"/>
      <c r="GZ77" s="145"/>
      <c r="HA77" s="145"/>
      <c r="HB77" s="145"/>
      <c r="HC77" s="145"/>
      <c r="HD77" s="145"/>
      <c r="HE77" s="145"/>
      <c r="HF77" s="145"/>
      <c r="HG77" s="145"/>
      <c r="HH77" s="145"/>
      <c r="HI77" s="145"/>
      <c r="HJ77" s="145"/>
      <c r="HK77" s="145"/>
      <c r="HL77" s="145"/>
      <c r="HM77" s="145"/>
      <c r="HN77" s="145"/>
      <c r="HO77" s="145"/>
      <c r="HP77" s="145"/>
      <c r="HQ77" s="145"/>
      <c r="HR77" s="145"/>
      <c r="HS77" s="145"/>
      <c r="HT77" s="145"/>
      <c r="HU77" s="145"/>
      <c r="HV77" s="145"/>
      <c r="HW77" s="145"/>
      <c r="HX77" s="145"/>
      <c r="HY77" s="145"/>
      <c r="HZ77" s="145"/>
      <c r="IA77" s="145"/>
      <c r="IB77" s="145"/>
      <c r="IC77" s="145"/>
      <c r="ID77" s="145"/>
      <c r="IE77" s="145"/>
      <c r="IF77" s="145"/>
      <c r="IG77" s="145"/>
      <c r="IH77" s="145"/>
      <c r="II77" s="145"/>
      <c r="IJ77" s="145"/>
      <c r="IK77" s="145"/>
      <c r="IL77" s="145"/>
      <c r="IM77" s="145"/>
      <c r="IN77" s="145"/>
      <c r="IO77" s="145"/>
      <c r="IP77" s="145"/>
      <c r="IQ77" s="145"/>
      <c r="IR77" s="145"/>
      <c r="IS77" s="145"/>
      <c r="IT77" s="145"/>
      <c r="IU77" s="145"/>
      <c r="IV77" s="145"/>
    </row>
    <row r="78" spans="1:256" s="122" customFormat="1" ht="12.75">
      <c r="A78" s="199" t="s">
        <v>398</v>
      </c>
      <c r="H78" s="139"/>
      <c r="I78" s="139"/>
      <c r="J78" s="139"/>
      <c r="K78" s="141"/>
      <c r="L78" s="141"/>
      <c r="M78" s="200"/>
      <c r="N78" s="201"/>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c r="GM78" s="145"/>
      <c r="GN78" s="145"/>
      <c r="GO78" s="145"/>
      <c r="GP78" s="145"/>
      <c r="GQ78" s="145"/>
      <c r="GR78" s="145"/>
      <c r="GS78" s="145"/>
      <c r="GT78" s="145"/>
      <c r="GU78" s="145"/>
      <c r="GV78" s="145"/>
      <c r="GW78" s="145"/>
      <c r="GX78" s="145"/>
      <c r="GY78" s="145"/>
      <c r="GZ78" s="145"/>
      <c r="HA78" s="145"/>
      <c r="HB78" s="145"/>
      <c r="HC78" s="145"/>
      <c r="HD78" s="145"/>
      <c r="HE78" s="145"/>
      <c r="HF78" s="145"/>
      <c r="HG78" s="145"/>
      <c r="HH78" s="145"/>
      <c r="HI78" s="145"/>
      <c r="HJ78" s="145"/>
      <c r="HK78" s="145"/>
      <c r="HL78" s="145"/>
      <c r="HM78" s="145"/>
      <c r="HN78" s="145"/>
      <c r="HO78" s="145"/>
      <c r="HP78" s="145"/>
      <c r="HQ78" s="145"/>
      <c r="HR78" s="145"/>
      <c r="HS78" s="145"/>
      <c r="HT78" s="145"/>
      <c r="HU78" s="145"/>
      <c r="HV78" s="145"/>
      <c r="HW78" s="145"/>
      <c r="HX78" s="145"/>
      <c r="HY78" s="145"/>
      <c r="HZ78" s="145"/>
      <c r="IA78" s="145"/>
      <c r="IB78" s="145"/>
      <c r="IC78" s="145"/>
      <c r="ID78" s="145"/>
      <c r="IE78" s="145"/>
      <c r="IF78" s="145"/>
      <c r="IG78" s="145"/>
      <c r="IH78" s="145"/>
      <c r="II78" s="145"/>
      <c r="IJ78" s="145"/>
      <c r="IK78" s="145"/>
      <c r="IL78" s="145"/>
      <c r="IM78" s="145"/>
      <c r="IN78" s="145"/>
      <c r="IO78" s="145"/>
      <c r="IP78" s="145"/>
      <c r="IQ78" s="145"/>
      <c r="IR78" s="145"/>
      <c r="IS78" s="145"/>
      <c r="IT78" s="145"/>
      <c r="IU78" s="145"/>
      <c r="IV78" s="145"/>
    </row>
    <row r="79" spans="1:256" s="122" customFormat="1" ht="12.75">
      <c r="A79" s="138" t="s">
        <v>399</v>
      </c>
      <c r="H79" s="139"/>
      <c r="I79" s="139"/>
      <c r="J79" s="139"/>
      <c r="K79" s="141"/>
      <c r="L79" s="141"/>
      <c r="M79" s="200"/>
      <c r="N79" s="201"/>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5"/>
      <c r="EC79" s="145"/>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5"/>
      <c r="FD79" s="145"/>
      <c r="FE79" s="145"/>
      <c r="FF79" s="145"/>
      <c r="FG79" s="145"/>
      <c r="FH79" s="145"/>
      <c r="FI79" s="145"/>
      <c r="FJ79" s="145"/>
      <c r="FK79" s="145"/>
      <c r="FL79" s="145"/>
      <c r="FM79" s="145"/>
      <c r="FN79" s="145"/>
      <c r="FO79" s="145"/>
      <c r="FP79" s="145"/>
      <c r="FQ79" s="145"/>
      <c r="FR79" s="145"/>
      <c r="FS79" s="145"/>
      <c r="FT79" s="145"/>
      <c r="FU79" s="145"/>
      <c r="FV79" s="145"/>
      <c r="FW79" s="145"/>
      <c r="FX79" s="145"/>
      <c r="FY79" s="145"/>
      <c r="FZ79" s="145"/>
      <c r="GA79" s="145"/>
      <c r="GB79" s="145"/>
      <c r="GC79" s="145"/>
      <c r="GD79" s="145"/>
      <c r="GE79" s="145"/>
      <c r="GF79" s="145"/>
      <c r="GG79" s="145"/>
      <c r="GH79" s="145"/>
      <c r="GI79" s="145"/>
      <c r="GJ79" s="145"/>
      <c r="GK79" s="145"/>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5"/>
      <c r="HL79" s="145"/>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5"/>
      <c r="IM79" s="145"/>
      <c r="IN79" s="145"/>
      <c r="IO79" s="145"/>
      <c r="IP79" s="145"/>
      <c r="IQ79" s="145"/>
      <c r="IR79" s="145"/>
      <c r="IS79" s="145"/>
      <c r="IT79" s="145"/>
      <c r="IU79" s="145"/>
      <c r="IV79" s="145"/>
    </row>
    <row r="80" spans="1:256" s="122" customFormat="1" ht="12.75">
      <c r="A80" s="202" t="s">
        <v>400</v>
      </c>
      <c r="H80" s="139"/>
      <c r="I80" s="139"/>
      <c r="J80" s="139"/>
      <c r="K80" s="141"/>
      <c r="L80" s="141"/>
      <c r="M80" s="200"/>
      <c r="N80" s="201"/>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c r="CB80" s="145"/>
      <c r="CC80" s="145"/>
      <c r="CD80" s="145"/>
      <c r="CE80" s="145"/>
      <c r="CF80" s="145"/>
      <c r="CG80" s="145"/>
      <c r="CH80" s="145"/>
      <c r="CI80" s="145"/>
      <c r="CJ80" s="145"/>
      <c r="CK80" s="145"/>
      <c r="CL80" s="145"/>
      <c r="CM80" s="145"/>
      <c r="CN80" s="145"/>
      <c r="CO80" s="145"/>
      <c r="CP80" s="145"/>
      <c r="CQ80" s="145"/>
      <c r="CR80" s="145"/>
      <c r="CS80" s="145"/>
      <c r="CT80" s="145"/>
      <c r="CU80" s="145"/>
      <c r="CV80" s="145"/>
      <c r="CW80" s="145"/>
      <c r="CX80" s="145"/>
      <c r="CY80" s="145"/>
      <c r="CZ80" s="145"/>
      <c r="DA80" s="145"/>
      <c r="DB80" s="145"/>
      <c r="DC80" s="145"/>
      <c r="DD80" s="145"/>
      <c r="DE80" s="145"/>
      <c r="DF80" s="145"/>
      <c r="DG80" s="145"/>
      <c r="DH80" s="145"/>
      <c r="DI80" s="145"/>
      <c r="DJ80" s="145"/>
      <c r="DK80" s="145"/>
      <c r="DL80" s="145"/>
      <c r="DM80" s="145"/>
      <c r="DN80" s="145"/>
      <c r="DO80" s="145"/>
      <c r="DP80" s="145"/>
      <c r="DQ80" s="145"/>
      <c r="DR80" s="145"/>
      <c r="DS80" s="145"/>
      <c r="DT80" s="145"/>
      <c r="DU80" s="145"/>
      <c r="DV80" s="145"/>
      <c r="DW80" s="145"/>
      <c r="DX80" s="145"/>
      <c r="DY80" s="145"/>
      <c r="DZ80" s="145"/>
      <c r="EA80" s="145"/>
      <c r="EB80" s="145"/>
      <c r="EC80" s="145"/>
      <c r="ED80" s="145"/>
      <c r="EE80" s="145"/>
      <c r="EF80" s="145"/>
      <c r="EG80" s="145"/>
      <c r="EH80" s="145"/>
      <c r="EI80" s="145"/>
      <c r="EJ80" s="145"/>
      <c r="EK80" s="145"/>
      <c r="EL80" s="145"/>
      <c r="EM80" s="145"/>
      <c r="EN80" s="145"/>
      <c r="EO80" s="145"/>
      <c r="EP80" s="145"/>
      <c r="EQ80" s="145"/>
      <c r="ER80" s="145"/>
      <c r="ES80" s="145"/>
      <c r="ET80" s="145"/>
      <c r="EU80" s="145"/>
      <c r="EV80" s="145"/>
      <c r="EW80" s="145"/>
      <c r="EX80" s="145"/>
      <c r="EY80" s="145"/>
      <c r="EZ80" s="145"/>
      <c r="FA80" s="145"/>
      <c r="FB80" s="145"/>
      <c r="FC80" s="145"/>
      <c r="FD80" s="145"/>
      <c r="FE80" s="145"/>
      <c r="FF80" s="145"/>
      <c r="FG80" s="145"/>
      <c r="FH80" s="145"/>
      <c r="FI80" s="145"/>
      <c r="FJ80" s="145"/>
      <c r="FK80" s="145"/>
      <c r="FL80" s="145"/>
      <c r="FM80" s="145"/>
      <c r="FN80" s="145"/>
      <c r="FO80" s="145"/>
      <c r="FP80" s="145"/>
      <c r="FQ80" s="145"/>
      <c r="FR80" s="145"/>
      <c r="FS80" s="145"/>
      <c r="FT80" s="145"/>
      <c r="FU80" s="145"/>
      <c r="FV80" s="145"/>
      <c r="FW80" s="145"/>
      <c r="FX80" s="145"/>
      <c r="FY80" s="145"/>
      <c r="FZ80" s="145"/>
      <c r="GA80" s="145"/>
      <c r="GB80" s="145"/>
      <c r="GC80" s="145"/>
      <c r="GD80" s="145"/>
      <c r="GE80" s="145"/>
      <c r="GF80" s="145"/>
      <c r="GG80" s="145"/>
      <c r="GH80" s="145"/>
      <c r="GI80" s="145"/>
      <c r="GJ80" s="145"/>
      <c r="GK80" s="145"/>
      <c r="GL80" s="145"/>
      <c r="GM80" s="145"/>
      <c r="GN80" s="145"/>
      <c r="GO80" s="145"/>
      <c r="GP80" s="145"/>
      <c r="GQ80" s="145"/>
      <c r="GR80" s="145"/>
      <c r="GS80" s="145"/>
      <c r="GT80" s="145"/>
      <c r="GU80" s="145"/>
      <c r="GV80" s="145"/>
      <c r="GW80" s="145"/>
      <c r="GX80" s="145"/>
      <c r="GY80" s="145"/>
      <c r="GZ80" s="145"/>
      <c r="HA80" s="145"/>
      <c r="HB80" s="145"/>
      <c r="HC80" s="145"/>
      <c r="HD80" s="145"/>
      <c r="HE80" s="145"/>
      <c r="HF80" s="145"/>
      <c r="HG80" s="145"/>
      <c r="HH80" s="145"/>
      <c r="HI80" s="145"/>
      <c r="HJ80" s="145"/>
      <c r="HK80" s="145"/>
      <c r="HL80" s="145"/>
      <c r="HM80" s="145"/>
      <c r="HN80" s="145"/>
      <c r="HO80" s="145"/>
      <c r="HP80" s="145"/>
      <c r="HQ80" s="145"/>
      <c r="HR80" s="145"/>
      <c r="HS80" s="145"/>
      <c r="HT80" s="145"/>
      <c r="HU80" s="145"/>
      <c r="HV80" s="145"/>
      <c r="HW80" s="145"/>
      <c r="HX80" s="145"/>
      <c r="HY80" s="145"/>
      <c r="HZ80" s="145"/>
      <c r="IA80" s="145"/>
      <c r="IB80" s="145"/>
      <c r="IC80" s="145"/>
      <c r="ID80" s="145"/>
      <c r="IE80" s="145"/>
      <c r="IF80" s="145"/>
      <c r="IG80" s="145"/>
      <c r="IH80" s="145"/>
      <c r="II80" s="145"/>
      <c r="IJ80" s="145"/>
      <c r="IK80" s="145"/>
      <c r="IL80" s="145"/>
      <c r="IM80" s="145"/>
      <c r="IN80" s="145"/>
      <c r="IO80" s="145"/>
      <c r="IP80" s="145"/>
      <c r="IQ80" s="145"/>
      <c r="IR80" s="145"/>
      <c r="IS80" s="145"/>
      <c r="IT80" s="145"/>
      <c r="IU80" s="145"/>
      <c r="IV80" s="145"/>
    </row>
    <row r="81" spans="1:256" s="122" customFormat="1" ht="12.75">
      <c r="A81" s="138"/>
      <c r="H81" s="139"/>
      <c r="I81" s="139"/>
      <c r="J81" s="139"/>
      <c r="K81" s="141"/>
      <c r="L81" s="141"/>
      <c r="M81" s="200"/>
      <c r="N81" s="201"/>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DD81" s="145"/>
      <c r="DE81" s="145"/>
      <c r="DF81" s="145"/>
      <c r="DG81" s="145"/>
      <c r="DH81" s="145"/>
      <c r="DI81" s="145"/>
      <c r="DJ81" s="145"/>
      <c r="DK81" s="145"/>
      <c r="DL81" s="145"/>
      <c r="DM81" s="145"/>
      <c r="DN81" s="145"/>
      <c r="DO81" s="145"/>
      <c r="DP81" s="145"/>
      <c r="DQ81" s="145"/>
      <c r="DR81" s="145"/>
      <c r="DS81" s="145"/>
      <c r="DT81" s="145"/>
      <c r="DU81" s="145"/>
      <c r="DV81" s="145"/>
      <c r="DW81" s="145"/>
      <c r="DX81" s="145"/>
      <c r="DY81" s="145"/>
      <c r="DZ81" s="145"/>
      <c r="EA81" s="145"/>
      <c r="EB81" s="145"/>
      <c r="EC81" s="145"/>
      <c r="ED81" s="145"/>
      <c r="EE81" s="145"/>
      <c r="EF81" s="145"/>
      <c r="EG81" s="145"/>
      <c r="EH81" s="145"/>
      <c r="EI81" s="145"/>
      <c r="EJ81" s="145"/>
      <c r="EK81" s="145"/>
      <c r="EL81" s="145"/>
      <c r="EM81" s="145"/>
      <c r="EN81" s="145"/>
      <c r="EO81" s="145"/>
      <c r="EP81" s="145"/>
      <c r="EQ81" s="145"/>
      <c r="ER81" s="145"/>
      <c r="ES81" s="145"/>
      <c r="ET81" s="145"/>
      <c r="EU81" s="145"/>
      <c r="EV81" s="145"/>
      <c r="EW81" s="145"/>
      <c r="EX81" s="145"/>
      <c r="EY81" s="145"/>
      <c r="EZ81" s="145"/>
      <c r="FA81" s="145"/>
      <c r="FB81" s="145"/>
      <c r="FC81" s="145"/>
      <c r="FD81" s="145"/>
      <c r="FE81" s="145"/>
      <c r="FF81" s="145"/>
      <c r="FG81" s="145"/>
      <c r="FH81" s="145"/>
      <c r="FI81" s="145"/>
      <c r="FJ81" s="145"/>
      <c r="FK81" s="145"/>
      <c r="FL81" s="145"/>
      <c r="FM81" s="145"/>
      <c r="FN81" s="145"/>
      <c r="FO81" s="145"/>
      <c r="FP81" s="145"/>
      <c r="FQ81" s="145"/>
      <c r="FR81" s="145"/>
      <c r="FS81" s="145"/>
      <c r="FT81" s="145"/>
      <c r="FU81" s="145"/>
      <c r="FV81" s="145"/>
      <c r="FW81" s="145"/>
      <c r="FX81" s="145"/>
      <c r="FY81" s="145"/>
      <c r="FZ81" s="145"/>
      <c r="GA81" s="145"/>
      <c r="GB81" s="145"/>
      <c r="GC81" s="145"/>
      <c r="GD81" s="145"/>
      <c r="GE81" s="145"/>
      <c r="GF81" s="145"/>
      <c r="GG81" s="145"/>
      <c r="GH81" s="145"/>
      <c r="GI81" s="145"/>
      <c r="GJ81" s="145"/>
      <c r="GK81" s="145"/>
      <c r="GL81" s="145"/>
      <c r="GM81" s="145"/>
      <c r="GN81" s="145"/>
      <c r="GO81" s="145"/>
      <c r="GP81" s="145"/>
      <c r="GQ81" s="145"/>
      <c r="GR81" s="145"/>
      <c r="GS81" s="145"/>
      <c r="GT81" s="145"/>
      <c r="GU81" s="145"/>
      <c r="GV81" s="145"/>
      <c r="GW81" s="145"/>
      <c r="GX81" s="145"/>
      <c r="GY81" s="145"/>
      <c r="GZ81" s="145"/>
      <c r="HA81" s="145"/>
      <c r="HB81" s="145"/>
      <c r="HC81" s="145"/>
      <c r="HD81" s="145"/>
      <c r="HE81" s="145"/>
      <c r="HF81" s="145"/>
      <c r="HG81" s="145"/>
      <c r="HH81" s="145"/>
      <c r="HI81" s="145"/>
      <c r="HJ81" s="145"/>
      <c r="HK81" s="145"/>
      <c r="HL81" s="145"/>
      <c r="HM81" s="145"/>
      <c r="HN81" s="145"/>
      <c r="HO81" s="145"/>
      <c r="HP81" s="145"/>
      <c r="HQ81" s="145"/>
      <c r="HR81" s="145"/>
      <c r="HS81" s="145"/>
      <c r="HT81" s="145"/>
      <c r="HU81" s="145"/>
      <c r="HV81" s="145"/>
      <c r="HW81" s="145"/>
      <c r="HX81" s="145"/>
      <c r="HY81" s="145"/>
      <c r="HZ81" s="145"/>
      <c r="IA81" s="145"/>
      <c r="IB81" s="145"/>
      <c r="IC81" s="145"/>
      <c r="ID81" s="145"/>
      <c r="IE81" s="145"/>
      <c r="IF81" s="145"/>
      <c r="IG81" s="145"/>
      <c r="IH81" s="145"/>
      <c r="II81" s="145"/>
      <c r="IJ81" s="145"/>
      <c r="IK81" s="145"/>
      <c r="IL81" s="145"/>
      <c r="IM81" s="145"/>
      <c r="IN81" s="145"/>
      <c r="IO81" s="145"/>
      <c r="IP81" s="145"/>
      <c r="IQ81" s="145"/>
      <c r="IR81" s="145"/>
      <c r="IS81" s="145"/>
      <c r="IT81" s="145"/>
      <c r="IU81" s="145"/>
      <c r="IV81" s="145"/>
    </row>
    <row r="82" spans="1:256" s="122" customFormat="1" ht="12.75">
      <c r="A82" s="202" t="s">
        <v>401</v>
      </c>
      <c r="H82" s="139"/>
      <c r="I82" s="139"/>
      <c r="J82" s="139"/>
      <c r="K82" s="141"/>
      <c r="L82" s="141"/>
      <c r="M82" s="200"/>
      <c r="N82" s="201"/>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c r="CW82" s="145"/>
      <c r="CX82" s="145"/>
      <c r="CY82" s="145"/>
      <c r="CZ82" s="145"/>
      <c r="DA82" s="145"/>
      <c r="DB82" s="145"/>
      <c r="DC82" s="145"/>
      <c r="DD82" s="145"/>
      <c r="DE82" s="145"/>
      <c r="DF82" s="145"/>
      <c r="DG82" s="145"/>
      <c r="DH82" s="145"/>
      <c r="DI82" s="145"/>
      <c r="DJ82" s="145"/>
      <c r="DK82" s="145"/>
      <c r="DL82" s="145"/>
      <c r="DM82" s="145"/>
      <c r="DN82" s="145"/>
      <c r="DO82" s="145"/>
      <c r="DP82" s="145"/>
      <c r="DQ82" s="145"/>
      <c r="DR82" s="145"/>
      <c r="DS82" s="145"/>
      <c r="DT82" s="145"/>
      <c r="DU82" s="145"/>
      <c r="DV82" s="145"/>
      <c r="DW82" s="145"/>
      <c r="DX82" s="145"/>
      <c r="DY82" s="145"/>
      <c r="DZ82" s="145"/>
      <c r="EA82" s="145"/>
      <c r="EB82" s="145"/>
      <c r="EC82" s="145"/>
      <c r="ED82" s="145"/>
      <c r="EE82" s="145"/>
      <c r="EF82" s="145"/>
      <c r="EG82" s="145"/>
      <c r="EH82" s="145"/>
      <c r="EI82" s="145"/>
      <c r="EJ82" s="145"/>
      <c r="EK82" s="145"/>
      <c r="EL82" s="145"/>
      <c r="EM82" s="145"/>
      <c r="EN82" s="145"/>
      <c r="EO82" s="145"/>
      <c r="EP82" s="145"/>
      <c r="EQ82" s="145"/>
      <c r="ER82" s="145"/>
      <c r="ES82" s="145"/>
      <c r="ET82" s="145"/>
      <c r="EU82" s="145"/>
      <c r="EV82" s="145"/>
      <c r="EW82" s="145"/>
      <c r="EX82" s="145"/>
      <c r="EY82" s="145"/>
      <c r="EZ82" s="145"/>
      <c r="FA82" s="145"/>
      <c r="FB82" s="145"/>
      <c r="FC82" s="145"/>
      <c r="FD82" s="145"/>
      <c r="FE82" s="145"/>
      <c r="FF82" s="145"/>
      <c r="FG82" s="145"/>
      <c r="FH82" s="145"/>
      <c r="FI82" s="145"/>
      <c r="FJ82" s="145"/>
      <c r="FK82" s="145"/>
      <c r="FL82" s="145"/>
      <c r="FM82" s="145"/>
      <c r="FN82" s="145"/>
      <c r="FO82" s="145"/>
      <c r="FP82" s="145"/>
      <c r="FQ82" s="145"/>
      <c r="FR82" s="145"/>
      <c r="FS82" s="145"/>
      <c r="FT82" s="145"/>
      <c r="FU82" s="145"/>
      <c r="FV82" s="145"/>
      <c r="FW82" s="145"/>
      <c r="FX82" s="145"/>
      <c r="FY82" s="145"/>
      <c r="FZ82" s="145"/>
      <c r="GA82" s="145"/>
      <c r="GB82" s="145"/>
      <c r="GC82" s="145"/>
      <c r="GD82" s="145"/>
      <c r="GE82" s="145"/>
      <c r="GF82" s="145"/>
      <c r="GG82" s="145"/>
      <c r="GH82" s="145"/>
      <c r="GI82" s="145"/>
      <c r="GJ82" s="145"/>
      <c r="GK82" s="145"/>
      <c r="GL82" s="145"/>
      <c r="GM82" s="145"/>
      <c r="GN82" s="145"/>
      <c r="GO82" s="145"/>
      <c r="GP82" s="145"/>
      <c r="GQ82" s="145"/>
      <c r="GR82" s="145"/>
      <c r="GS82" s="145"/>
      <c r="GT82" s="145"/>
      <c r="GU82" s="145"/>
      <c r="GV82" s="145"/>
      <c r="GW82" s="145"/>
      <c r="GX82" s="145"/>
      <c r="GY82" s="145"/>
      <c r="GZ82" s="145"/>
      <c r="HA82" s="145"/>
      <c r="HB82" s="145"/>
      <c r="HC82" s="145"/>
      <c r="HD82" s="145"/>
      <c r="HE82" s="145"/>
      <c r="HF82" s="145"/>
      <c r="HG82" s="145"/>
      <c r="HH82" s="145"/>
      <c r="HI82" s="145"/>
      <c r="HJ82" s="145"/>
      <c r="HK82" s="145"/>
      <c r="HL82" s="145"/>
      <c r="HM82" s="145"/>
      <c r="HN82" s="145"/>
      <c r="HO82" s="145"/>
      <c r="HP82" s="145"/>
      <c r="HQ82" s="145"/>
      <c r="HR82" s="145"/>
      <c r="HS82" s="145"/>
      <c r="HT82" s="145"/>
      <c r="HU82" s="145"/>
      <c r="HV82" s="145"/>
      <c r="HW82" s="145"/>
      <c r="HX82" s="145"/>
      <c r="HY82" s="145"/>
      <c r="HZ82" s="145"/>
      <c r="IA82" s="145"/>
      <c r="IB82" s="145"/>
      <c r="IC82" s="145"/>
      <c r="ID82" s="145"/>
      <c r="IE82" s="145"/>
      <c r="IF82" s="145"/>
      <c r="IG82" s="145"/>
      <c r="IH82" s="145"/>
      <c r="II82" s="145"/>
      <c r="IJ82" s="145"/>
      <c r="IK82" s="145"/>
      <c r="IL82" s="145"/>
      <c r="IM82" s="145"/>
      <c r="IN82" s="145"/>
      <c r="IO82" s="145"/>
      <c r="IP82" s="145"/>
      <c r="IQ82" s="145"/>
      <c r="IR82" s="145"/>
      <c r="IS82" s="145"/>
      <c r="IT82" s="145"/>
      <c r="IU82" s="145"/>
      <c r="IV82" s="145"/>
    </row>
    <row r="83" spans="1:256" s="122" customFormat="1" ht="12.75">
      <c r="A83" s="138"/>
      <c r="H83" s="139"/>
      <c r="I83" s="139"/>
      <c r="J83" s="139"/>
      <c r="K83" s="141"/>
      <c r="L83" s="141"/>
      <c r="M83" s="200"/>
      <c r="N83" s="201"/>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c r="CW83" s="145"/>
      <c r="CX83" s="145"/>
      <c r="CY83" s="145"/>
      <c r="CZ83" s="145"/>
      <c r="DA83" s="145"/>
      <c r="DB83" s="145"/>
      <c r="DC83" s="145"/>
      <c r="DD83" s="145"/>
      <c r="DE83" s="145"/>
      <c r="DF83" s="145"/>
      <c r="DG83" s="145"/>
      <c r="DH83" s="145"/>
      <c r="DI83" s="145"/>
      <c r="DJ83" s="145"/>
      <c r="DK83" s="145"/>
      <c r="DL83" s="145"/>
      <c r="DM83" s="145"/>
      <c r="DN83" s="145"/>
      <c r="DO83" s="145"/>
      <c r="DP83" s="145"/>
      <c r="DQ83" s="145"/>
      <c r="DR83" s="145"/>
      <c r="DS83" s="145"/>
      <c r="DT83" s="145"/>
      <c r="DU83" s="145"/>
      <c r="DV83" s="145"/>
      <c r="DW83" s="145"/>
      <c r="DX83" s="145"/>
      <c r="DY83" s="145"/>
      <c r="DZ83" s="145"/>
      <c r="EA83" s="145"/>
      <c r="EB83" s="145"/>
      <c r="EC83" s="145"/>
      <c r="ED83" s="145"/>
      <c r="EE83" s="145"/>
      <c r="EF83" s="145"/>
      <c r="EG83" s="145"/>
      <c r="EH83" s="145"/>
      <c r="EI83" s="145"/>
      <c r="EJ83" s="145"/>
      <c r="EK83" s="145"/>
      <c r="EL83" s="145"/>
      <c r="EM83" s="145"/>
      <c r="EN83" s="145"/>
      <c r="EO83" s="145"/>
      <c r="EP83" s="145"/>
      <c r="EQ83" s="145"/>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c r="GM83" s="145"/>
      <c r="GN83" s="145"/>
      <c r="GO83" s="145"/>
      <c r="GP83" s="145"/>
      <c r="GQ83" s="145"/>
      <c r="GR83" s="145"/>
      <c r="GS83" s="145"/>
      <c r="GT83" s="145"/>
      <c r="GU83" s="145"/>
      <c r="GV83" s="145"/>
      <c r="GW83" s="145"/>
      <c r="GX83" s="145"/>
      <c r="GY83" s="145"/>
      <c r="GZ83" s="145"/>
      <c r="HA83" s="145"/>
      <c r="HB83" s="145"/>
      <c r="HC83" s="145"/>
      <c r="HD83" s="145"/>
      <c r="HE83" s="145"/>
      <c r="HF83" s="145"/>
      <c r="HG83" s="145"/>
      <c r="HH83" s="145"/>
      <c r="HI83" s="145"/>
      <c r="HJ83" s="145"/>
      <c r="HK83" s="145"/>
      <c r="HL83" s="145"/>
      <c r="HM83" s="145"/>
      <c r="HN83" s="145"/>
      <c r="HO83" s="145"/>
      <c r="HP83" s="145"/>
      <c r="HQ83" s="145"/>
      <c r="HR83" s="145"/>
      <c r="HS83" s="145"/>
      <c r="HT83" s="145"/>
      <c r="HU83" s="145"/>
      <c r="HV83" s="145"/>
      <c r="HW83" s="145"/>
      <c r="HX83" s="145"/>
      <c r="HY83" s="145"/>
      <c r="HZ83" s="145"/>
      <c r="IA83" s="145"/>
      <c r="IB83" s="145"/>
      <c r="IC83" s="145"/>
      <c r="ID83" s="145"/>
      <c r="IE83" s="145"/>
      <c r="IF83" s="145"/>
      <c r="IG83" s="145"/>
      <c r="IH83" s="145"/>
      <c r="II83" s="145"/>
      <c r="IJ83" s="145"/>
      <c r="IK83" s="145"/>
      <c r="IL83" s="145"/>
      <c r="IM83" s="145"/>
      <c r="IN83" s="145"/>
      <c r="IO83" s="145"/>
      <c r="IP83" s="145"/>
      <c r="IQ83" s="145"/>
      <c r="IR83" s="145"/>
      <c r="IS83" s="145"/>
      <c r="IT83" s="145"/>
      <c r="IU83" s="145"/>
      <c r="IV83" s="145"/>
    </row>
    <row r="84" spans="1:256" s="122" customFormat="1" ht="12.75">
      <c r="A84" s="199" t="s">
        <v>402</v>
      </c>
      <c r="H84" s="139"/>
      <c r="I84" s="139"/>
      <c r="J84" s="139"/>
      <c r="K84" s="141"/>
      <c r="L84" s="141"/>
      <c r="M84" s="200"/>
      <c r="N84" s="201"/>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c r="GM84" s="145"/>
      <c r="GN84" s="145"/>
      <c r="GO84" s="145"/>
      <c r="GP84" s="145"/>
      <c r="GQ84" s="145"/>
      <c r="GR84" s="145"/>
      <c r="GS84" s="145"/>
      <c r="GT84" s="145"/>
      <c r="GU84" s="145"/>
      <c r="GV84" s="145"/>
      <c r="GW84" s="145"/>
      <c r="GX84" s="145"/>
      <c r="GY84" s="145"/>
      <c r="GZ84" s="145"/>
      <c r="HA84" s="145"/>
      <c r="HB84" s="145"/>
      <c r="HC84" s="145"/>
      <c r="HD84" s="145"/>
      <c r="HE84" s="145"/>
      <c r="HF84" s="145"/>
      <c r="HG84" s="145"/>
      <c r="HH84" s="145"/>
      <c r="HI84" s="145"/>
      <c r="HJ84" s="145"/>
      <c r="HK84" s="145"/>
      <c r="HL84" s="145"/>
      <c r="HM84" s="145"/>
      <c r="HN84" s="145"/>
      <c r="HO84" s="145"/>
      <c r="HP84" s="145"/>
      <c r="HQ84" s="145"/>
      <c r="HR84" s="145"/>
      <c r="HS84" s="145"/>
      <c r="HT84" s="145"/>
      <c r="HU84" s="145"/>
      <c r="HV84" s="145"/>
      <c r="HW84" s="145"/>
      <c r="HX84" s="145"/>
      <c r="HY84" s="145"/>
      <c r="HZ84" s="145"/>
      <c r="IA84" s="145"/>
      <c r="IB84" s="145"/>
      <c r="IC84" s="145"/>
      <c r="ID84" s="145"/>
      <c r="IE84" s="145"/>
      <c r="IF84" s="145"/>
      <c r="IG84" s="145"/>
      <c r="IH84" s="145"/>
      <c r="II84" s="145"/>
      <c r="IJ84" s="145"/>
      <c r="IK84" s="145"/>
      <c r="IL84" s="145"/>
      <c r="IM84" s="145"/>
      <c r="IN84" s="145"/>
      <c r="IO84" s="145"/>
      <c r="IP84" s="145"/>
      <c r="IQ84" s="145"/>
      <c r="IR84" s="145"/>
      <c r="IS84" s="145"/>
      <c r="IT84" s="145"/>
      <c r="IU84" s="145"/>
      <c r="IV84" s="145"/>
    </row>
    <row r="85" spans="1:256" s="122" customFormat="1" ht="12.75">
      <c r="A85" s="202" t="s">
        <v>403</v>
      </c>
      <c r="H85" s="139"/>
      <c r="I85" s="139"/>
      <c r="J85" s="139"/>
      <c r="K85" s="141"/>
      <c r="L85" s="141"/>
      <c r="M85" s="200"/>
      <c r="N85" s="201"/>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c r="EQ85" s="145"/>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5"/>
      <c r="GR85" s="145"/>
      <c r="GS85" s="145"/>
      <c r="GT85" s="145"/>
      <c r="GU85" s="145"/>
      <c r="GV85" s="145"/>
      <c r="GW85" s="145"/>
      <c r="GX85" s="145"/>
      <c r="GY85" s="145"/>
      <c r="GZ85" s="145"/>
      <c r="HA85" s="145"/>
      <c r="HB85" s="145"/>
      <c r="HC85" s="145"/>
      <c r="HD85" s="145"/>
      <c r="HE85" s="145"/>
      <c r="HF85" s="145"/>
      <c r="HG85" s="145"/>
      <c r="HH85" s="145"/>
      <c r="HI85" s="145"/>
      <c r="HJ85" s="145"/>
      <c r="HK85" s="145"/>
      <c r="HL85" s="145"/>
      <c r="HM85" s="145"/>
      <c r="HN85" s="145"/>
      <c r="HO85" s="145"/>
      <c r="HP85" s="145"/>
      <c r="HQ85" s="145"/>
      <c r="HR85" s="145"/>
      <c r="HS85" s="145"/>
      <c r="HT85" s="145"/>
      <c r="HU85" s="145"/>
      <c r="HV85" s="145"/>
      <c r="HW85" s="145"/>
      <c r="HX85" s="145"/>
      <c r="HY85" s="145"/>
      <c r="HZ85" s="145"/>
      <c r="IA85" s="145"/>
      <c r="IB85" s="145"/>
      <c r="IC85" s="145"/>
      <c r="ID85" s="145"/>
      <c r="IE85" s="145"/>
      <c r="IF85" s="145"/>
      <c r="IG85" s="145"/>
      <c r="IH85" s="145"/>
      <c r="II85" s="145"/>
      <c r="IJ85" s="145"/>
      <c r="IK85" s="145"/>
      <c r="IL85" s="145"/>
      <c r="IM85" s="145"/>
      <c r="IN85" s="145"/>
      <c r="IO85" s="145"/>
      <c r="IP85" s="145"/>
      <c r="IQ85" s="145"/>
      <c r="IR85" s="145"/>
      <c r="IS85" s="145"/>
      <c r="IT85" s="145"/>
      <c r="IU85" s="145"/>
      <c r="IV85" s="145"/>
    </row>
    <row r="86" spans="1:256" s="122" customFormat="1" ht="12.75">
      <c r="A86" s="138"/>
      <c r="H86" s="139"/>
      <c r="I86" s="139"/>
      <c r="J86" s="139"/>
      <c r="K86" s="141"/>
      <c r="L86" s="141"/>
      <c r="M86" s="200"/>
      <c r="N86" s="201"/>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c r="EQ86" s="145"/>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5"/>
      <c r="GR86" s="145"/>
      <c r="GS86" s="145"/>
      <c r="GT86" s="145"/>
      <c r="GU86" s="145"/>
      <c r="GV86" s="145"/>
      <c r="GW86" s="145"/>
      <c r="GX86" s="145"/>
      <c r="GY86" s="145"/>
      <c r="GZ86" s="145"/>
      <c r="HA86" s="145"/>
      <c r="HB86" s="145"/>
      <c r="HC86" s="145"/>
      <c r="HD86" s="145"/>
      <c r="HE86" s="145"/>
      <c r="HF86" s="145"/>
      <c r="HG86" s="145"/>
      <c r="HH86" s="145"/>
      <c r="HI86" s="145"/>
      <c r="HJ86" s="145"/>
      <c r="HK86" s="145"/>
      <c r="HL86" s="145"/>
      <c r="HM86" s="145"/>
      <c r="HN86" s="145"/>
      <c r="HO86" s="145"/>
      <c r="HP86" s="145"/>
      <c r="HQ86" s="145"/>
      <c r="HR86" s="145"/>
      <c r="HS86" s="145"/>
      <c r="HT86" s="145"/>
      <c r="HU86" s="145"/>
      <c r="HV86" s="145"/>
      <c r="HW86" s="145"/>
      <c r="HX86" s="145"/>
      <c r="HY86" s="145"/>
      <c r="HZ86" s="145"/>
      <c r="IA86" s="145"/>
      <c r="IB86" s="145"/>
      <c r="IC86" s="145"/>
      <c r="ID86" s="145"/>
      <c r="IE86" s="145"/>
      <c r="IF86" s="145"/>
      <c r="IG86" s="145"/>
      <c r="IH86" s="145"/>
      <c r="II86" s="145"/>
      <c r="IJ86" s="145"/>
      <c r="IK86" s="145"/>
      <c r="IL86" s="145"/>
      <c r="IM86" s="145"/>
      <c r="IN86" s="145"/>
      <c r="IO86" s="145"/>
      <c r="IP86" s="145"/>
      <c r="IQ86" s="145"/>
      <c r="IR86" s="145"/>
      <c r="IS86" s="145"/>
      <c r="IT86" s="145"/>
      <c r="IU86" s="145"/>
      <c r="IV86" s="145"/>
    </row>
    <row r="87" spans="1:256" s="122" customFormat="1" ht="12.75">
      <c r="A87" s="199" t="s">
        <v>404</v>
      </c>
      <c r="H87" s="139"/>
      <c r="I87" s="139"/>
      <c r="J87" s="139"/>
      <c r="K87" s="141"/>
      <c r="L87" s="141"/>
      <c r="M87" s="200"/>
      <c r="N87" s="201"/>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45"/>
      <c r="DX87" s="145"/>
      <c r="DY87" s="145"/>
      <c r="DZ87" s="145"/>
      <c r="EA87" s="145"/>
      <c r="EB87" s="145"/>
      <c r="EC87" s="145"/>
      <c r="ED87" s="145"/>
      <c r="EE87" s="145"/>
      <c r="EF87" s="145"/>
      <c r="EG87" s="145"/>
      <c r="EH87" s="145"/>
      <c r="EI87" s="145"/>
      <c r="EJ87" s="145"/>
      <c r="EK87" s="145"/>
      <c r="EL87" s="145"/>
      <c r="EM87" s="145"/>
      <c r="EN87" s="145"/>
      <c r="EO87" s="145"/>
      <c r="EP87" s="145"/>
      <c r="EQ87" s="145"/>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c r="GM87" s="145"/>
      <c r="GN87" s="145"/>
      <c r="GO87" s="145"/>
      <c r="GP87" s="145"/>
      <c r="GQ87" s="145"/>
      <c r="GR87" s="145"/>
      <c r="GS87" s="145"/>
      <c r="GT87" s="145"/>
      <c r="GU87" s="145"/>
      <c r="GV87" s="145"/>
      <c r="GW87" s="145"/>
      <c r="GX87" s="145"/>
      <c r="GY87" s="145"/>
      <c r="GZ87" s="145"/>
      <c r="HA87" s="145"/>
      <c r="HB87" s="145"/>
      <c r="HC87" s="145"/>
      <c r="HD87" s="145"/>
      <c r="HE87" s="145"/>
      <c r="HF87" s="145"/>
      <c r="HG87" s="145"/>
      <c r="HH87" s="145"/>
      <c r="HI87" s="145"/>
      <c r="HJ87" s="145"/>
      <c r="HK87" s="145"/>
      <c r="HL87" s="145"/>
      <c r="HM87" s="145"/>
      <c r="HN87" s="145"/>
      <c r="HO87" s="145"/>
      <c r="HP87" s="145"/>
      <c r="HQ87" s="145"/>
      <c r="HR87" s="145"/>
      <c r="HS87" s="145"/>
      <c r="HT87" s="145"/>
      <c r="HU87" s="145"/>
      <c r="HV87" s="145"/>
      <c r="HW87" s="145"/>
      <c r="HX87" s="145"/>
      <c r="HY87" s="145"/>
      <c r="HZ87" s="145"/>
      <c r="IA87" s="145"/>
      <c r="IB87" s="145"/>
      <c r="IC87" s="145"/>
      <c r="ID87" s="145"/>
      <c r="IE87" s="145"/>
      <c r="IF87" s="145"/>
      <c r="IG87" s="145"/>
      <c r="IH87" s="145"/>
      <c r="II87" s="145"/>
      <c r="IJ87" s="145"/>
      <c r="IK87" s="145"/>
      <c r="IL87" s="145"/>
      <c r="IM87" s="145"/>
      <c r="IN87" s="145"/>
      <c r="IO87" s="145"/>
      <c r="IP87" s="145"/>
      <c r="IQ87" s="145"/>
      <c r="IR87" s="145"/>
      <c r="IS87" s="145"/>
      <c r="IT87" s="145"/>
      <c r="IU87" s="145"/>
      <c r="IV87" s="145"/>
    </row>
    <row r="88" spans="1:256" s="122" customFormat="1" ht="12.75">
      <c r="A88" s="202" t="s">
        <v>405</v>
      </c>
      <c r="B88" s="139"/>
      <c r="C88" s="139"/>
      <c r="D88" s="139"/>
      <c r="E88" s="139"/>
      <c r="F88" s="139"/>
      <c r="G88" s="139"/>
      <c r="H88" s="139"/>
      <c r="I88" s="139"/>
      <c r="J88" s="139"/>
      <c r="K88" s="141"/>
      <c r="L88" s="141"/>
      <c r="M88" s="200"/>
      <c r="N88" s="201"/>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c r="GM88" s="145"/>
      <c r="GN88" s="145"/>
      <c r="GO88" s="145"/>
      <c r="GP88" s="145"/>
      <c r="GQ88" s="145"/>
      <c r="GR88" s="145"/>
      <c r="GS88" s="145"/>
      <c r="GT88" s="145"/>
      <c r="GU88" s="145"/>
      <c r="GV88" s="145"/>
      <c r="GW88" s="145"/>
      <c r="GX88" s="145"/>
      <c r="GY88" s="145"/>
      <c r="GZ88" s="145"/>
      <c r="HA88" s="145"/>
      <c r="HB88" s="145"/>
      <c r="HC88" s="145"/>
      <c r="HD88" s="145"/>
      <c r="HE88" s="145"/>
      <c r="HF88" s="145"/>
      <c r="HG88" s="145"/>
      <c r="HH88" s="145"/>
      <c r="HI88" s="145"/>
      <c r="HJ88" s="145"/>
      <c r="HK88" s="145"/>
      <c r="HL88" s="145"/>
      <c r="HM88" s="145"/>
      <c r="HN88" s="145"/>
      <c r="HO88" s="145"/>
      <c r="HP88" s="145"/>
      <c r="HQ88" s="145"/>
      <c r="HR88" s="145"/>
      <c r="HS88" s="145"/>
      <c r="HT88" s="145"/>
      <c r="HU88" s="145"/>
      <c r="HV88" s="145"/>
      <c r="HW88" s="145"/>
      <c r="HX88" s="145"/>
      <c r="HY88" s="145"/>
      <c r="HZ88" s="145"/>
      <c r="IA88" s="145"/>
      <c r="IB88" s="145"/>
      <c r="IC88" s="145"/>
      <c r="ID88" s="145"/>
      <c r="IE88" s="145"/>
      <c r="IF88" s="145"/>
      <c r="IG88" s="145"/>
      <c r="IH88" s="145"/>
      <c r="II88" s="145"/>
      <c r="IJ88" s="145"/>
      <c r="IK88" s="145"/>
      <c r="IL88" s="145"/>
      <c r="IM88" s="145"/>
      <c r="IN88" s="145"/>
      <c r="IO88" s="145"/>
      <c r="IP88" s="145"/>
      <c r="IQ88" s="145"/>
      <c r="IR88" s="145"/>
      <c r="IS88" s="145"/>
      <c r="IT88" s="145"/>
      <c r="IU88" s="145"/>
      <c r="IV88" s="145"/>
    </row>
    <row r="89" spans="1:256" s="122" customFormat="1" ht="12.75">
      <c r="A89" s="138"/>
      <c r="B89" s="139"/>
      <c r="C89" s="139"/>
      <c r="D89" s="139"/>
      <c r="E89" s="139"/>
      <c r="F89" s="139"/>
      <c r="G89" s="139"/>
      <c r="H89" s="139"/>
      <c r="I89" s="139"/>
      <c r="J89" s="139"/>
      <c r="K89" s="141"/>
      <c r="L89" s="141"/>
      <c r="M89" s="200"/>
      <c r="N89" s="201"/>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c r="GK89" s="145"/>
      <c r="GL89" s="145"/>
      <c r="GM89" s="145"/>
      <c r="GN89" s="145"/>
      <c r="GO89" s="145"/>
      <c r="GP89" s="145"/>
      <c r="GQ89" s="145"/>
      <c r="GR89" s="145"/>
      <c r="GS89" s="145"/>
      <c r="GT89" s="145"/>
      <c r="GU89" s="145"/>
      <c r="GV89" s="145"/>
      <c r="GW89" s="145"/>
      <c r="GX89" s="145"/>
      <c r="GY89" s="145"/>
      <c r="GZ89" s="145"/>
      <c r="HA89" s="145"/>
      <c r="HB89" s="145"/>
      <c r="HC89" s="145"/>
      <c r="HD89" s="145"/>
      <c r="HE89" s="145"/>
      <c r="HF89" s="145"/>
      <c r="HG89" s="145"/>
      <c r="HH89" s="145"/>
      <c r="HI89" s="145"/>
      <c r="HJ89" s="145"/>
      <c r="HK89" s="145"/>
      <c r="HL89" s="145"/>
      <c r="HM89" s="145"/>
      <c r="HN89" s="145"/>
      <c r="HO89" s="145"/>
      <c r="HP89" s="145"/>
      <c r="HQ89" s="145"/>
      <c r="HR89" s="145"/>
      <c r="HS89" s="145"/>
      <c r="HT89" s="145"/>
      <c r="HU89" s="145"/>
      <c r="HV89" s="145"/>
      <c r="HW89" s="145"/>
      <c r="HX89" s="145"/>
      <c r="HY89" s="145"/>
      <c r="HZ89" s="145"/>
      <c r="IA89" s="145"/>
      <c r="IB89" s="145"/>
      <c r="IC89" s="145"/>
      <c r="ID89" s="145"/>
      <c r="IE89" s="145"/>
      <c r="IF89" s="145"/>
      <c r="IG89" s="145"/>
      <c r="IH89" s="145"/>
      <c r="II89" s="145"/>
      <c r="IJ89" s="145"/>
      <c r="IK89" s="145"/>
      <c r="IL89" s="145"/>
      <c r="IM89" s="145"/>
      <c r="IN89" s="145"/>
      <c r="IO89" s="145"/>
      <c r="IP89" s="145"/>
      <c r="IQ89" s="145"/>
      <c r="IR89" s="145"/>
      <c r="IS89" s="145"/>
      <c r="IT89" s="145"/>
      <c r="IU89" s="145"/>
      <c r="IV89" s="145"/>
    </row>
    <row r="90" spans="1:256" s="122" customFormat="1" ht="12.75">
      <c r="A90" s="199" t="s">
        <v>406</v>
      </c>
      <c r="B90" s="139"/>
      <c r="C90" s="139"/>
      <c r="D90" s="139"/>
      <c r="E90" s="139"/>
      <c r="F90" s="139"/>
      <c r="G90" s="139"/>
      <c r="H90" s="139"/>
      <c r="I90" s="139"/>
      <c r="J90" s="139"/>
      <c r="K90" s="141"/>
      <c r="L90" s="141"/>
      <c r="M90" s="200"/>
      <c r="N90" s="201"/>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5"/>
      <c r="DJ90" s="145"/>
      <c r="DK90" s="145"/>
      <c r="DL90" s="145"/>
      <c r="DM90" s="145"/>
      <c r="DN90" s="145"/>
      <c r="DO90" s="145"/>
      <c r="DP90" s="145"/>
      <c r="DQ90" s="145"/>
      <c r="DR90" s="145"/>
      <c r="DS90" s="145"/>
      <c r="DT90" s="145"/>
      <c r="DU90" s="145"/>
      <c r="DV90" s="145"/>
      <c r="DW90" s="145"/>
      <c r="DX90" s="145"/>
      <c r="DY90" s="145"/>
      <c r="DZ90" s="145"/>
      <c r="EA90" s="145"/>
      <c r="EB90" s="145"/>
      <c r="EC90" s="145"/>
      <c r="ED90" s="145"/>
      <c r="EE90" s="145"/>
      <c r="EF90" s="145"/>
      <c r="EG90" s="145"/>
      <c r="EH90" s="145"/>
      <c r="EI90" s="145"/>
      <c r="EJ90" s="145"/>
      <c r="EK90" s="145"/>
      <c r="EL90" s="145"/>
      <c r="EM90" s="145"/>
      <c r="EN90" s="145"/>
      <c r="EO90" s="145"/>
      <c r="EP90" s="145"/>
      <c r="EQ90" s="145"/>
      <c r="ER90" s="145"/>
      <c r="ES90" s="145"/>
      <c r="ET90" s="145"/>
      <c r="EU90" s="145"/>
      <c r="EV90" s="145"/>
      <c r="EW90" s="145"/>
      <c r="EX90" s="145"/>
      <c r="EY90" s="145"/>
      <c r="EZ90" s="145"/>
      <c r="FA90" s="145"/>
      <c r="FB90" s="145"/>
      <c r="FC90" s="145"/>
      <c r="FD90" s="145"/>
      <c r="FE90" s="145"/>
      <c r="FF90" s="145"/>
      <c r="FG90" s="145"/>
      <c r="FH90" s="145"/>
      <c r="FI90" s="145"/>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5"/>
      <c r="GK90" s="145"/>
      <c r="GL90" s="145"/>
      <c r="GM90" s="145"/>
      <c r="GN90" s="145"/>
      <c r="GO90" s="145"/>
      <c r="GP90" s="145"/>
      <c r="GQ90" s="145"/>
      <c r="GR90" s="145"/>
      <c r="GS90" s="145"/>
      <c r="GT90" s="145"/>
      <c r="GU90" s="145"/>
      <c r="GV90" s="145"/>
      <c r="GW90" s="145"/>
      <c r="GX90" s="145"/>
      <c r="GY90" s="145"/>
      <c r="GZ90" s="145"/>
      <c r="HA90" s="145"/>
      <c r="HB90" s="145"/>
      <c r="HC90" s="145"/>
      <c r="HD90" s="145"/>
      <c r="HE90" s="145"/>
      <c r="HF90" s="145"/>
      <c r="HG90" s="145"/>
      <c r="HH90" s="145"/>
      <c r="HI90" s="145"/>
      <c r="HJ90" s="145"/>
      <c r="HK90" s="145"/>
      <c r="HL90" s="145"/>
      <c r="HM90" s="145"/>
      <c r="HN90" s="145"/>
      <c r="HO90" s="145"/>
      <c r="HP90" s="145"/>
      <c r="HQ90" s="145"/>
      <c r="HR90" s="145"/>
      <c r="HS90" s="145"/>
      <c r="HT90" s="145"/>
      <c r="HU90" s="145"/>
      <c r="HV90" s="145"/>
      <c r="HW90" s="145"/>
      <c r="HX90" s="145"/>
      <c r="HY90" s="145"/>
      <c r="HZ90" s="145"/>
      <c r="IA90" s="145"/>
      <c r="IB90" s="145"/>
      <c r="IC90" s="145"/>
      <c r="ID90" s="145"/>
      <c r="IE90" s="145"/>
      <c r="IF90" s="145"/>
      <c r="IG90" s="145"/>
      <c r="IH90" s="145"/>
      <c r="II90" s="145"/>
      <c r="IJ90" s="145"/>
      <c r="IK90" s="145"/>
      <c r="IL90" s="145"/>
      <c r="IM90" s="145"/>
      <c r="IN90" s="145"/>
      <c r="IO90" s="145"/>
      <c r="IP90" s="145"/>
      <c r="IQ90" s="145"/>
      <c r="IR90" s="145"/>
      <c r="IS90" s="145"/>
      <c r="IT90" s="145"/>
      <c r="IU90" s="145"/>
      <c r="IV90" s="145"/>
    </row>
    <row r="91" spans="1:256" s="122" customFormat="1" ht="12.75">
      <c r="A91" s="138"/>
      <c r="B91" s="139"/>
      <c r="C91" s="139"/>
      <c r="D91" s="139"/>
      <c r="E91" s="139"/>
      <c r="F91" s="139"/>
      <c r="G91" s="139"/>
      <c r="H91" s="139"/>
      <c r="I91" s="139"/>
      <c r="J91" s="139"/>
      <c r="K91" s="141"/>
      <c r="L91" s="141"/>
      <c r="M91" s="200"/>
      <c r="N91" s="201"/>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45"/>
      <c r="DX91" s="145"/>
      <c r="DY91" s="145"/>
      <c r="DZ91" s="145"/>
      <c r="EA91" s="145"/>
      <c r="EB91" s="145"/>
      <c r="EC91" s="145"/>
      <c r="ED91" s="145"/>
      <c r="EE91" s="145"/>
      <c r="EF91" s="145"/>
      <c r="EG91" s="145"/>
      <c r="EH91" s="145"/>
      <c r="EI91" s="145"/>
      <c r="EJ91" s="145"/>
      <c r="EK91" s="145"/>
      <c r="EL91" s="145"/>
      <c r="EM91" s="145"/>
      <c r="EN91" s="145"/>
      <c r="EO91" s="145"/>
      <c r="EP91" s="145"/>
      <c r="EQ91" s="145"/>
      <c r="ER91" s="145"/>
      <c r="ES91" s="145"/>
      <c r="ET91" s="145"/>
      <c r="EU91" s="145"/>
      <c r="EV91" s="145"/>
      <c r="EW91" s="145"/>
      <c r="EX91" s="145"/>
      <c r="EY91" s="145"/>
      <c r="EZ91" s="145"/>
      <c r="FA91" s="145"/>
      <c r="FB91" s="145"/>
      <c r="FC91" s="145"/>
      <c r="FD91" s="145"/>
      <c r="FE91" s="145"/>
      <c r="FF91" s="145"/>
      <c r="FG91" s="145"/>
      <c r="FH91" s="145"/>
      <c r="FI91" s="145"/>
      <c r="FJ91" s="145"/>
      <c r="FK91" s="145"/>
      <c r="FL91" s="145"/>
      <c r="FM91" s="145"/>
      <c r="FN91" s="145"/>
      <c r="FO91" s="145"/>
      <c r="FP91" s="145"/>
      <c r="FQ91" s="145"/>
      <c r="FR91" s="145"/>
      <c r="FS91" s="145"/>
      <c r="FT91" s="145"/>
      <c r="FU91" s="145"/>
      <c r="FV91" s="145"/>
      <c r="FW91" s="145"/>
      <c r="FX91" s="145"/>
      <c r="FY91" s="145"/>
      <c r="FZ91" s="145"/>
      <c r="GA91" s="145"/>
      <c r="GB91" s="145"/>
      <c r="GC91" s="145"/>
      <c r="GD91" s="145"/>
      <c r="GE91" s="145"/>
      <c r="GF91" s="145"/>
      <c r="GG91" s="145"/>
      <c r="GH91" s="145"/>
      <c r="GI91" s="145"/>
      <c r="GJ91" s="145"/>
      <c r="GK91" s="145"/>
      <c r="GL91" s="145"/>
      <c r="GM91" s="145"/>
      <c r="GN91" s="145"/>
      <c r="GO91" s="145"/>
      <c r="GP91" s="145"/>
      <c r="GQ91" s="145"/>
      <c r="GR91" s="145"/>
      <c r="GS91" s="145"/>
      <c r="GT91" s="145"/>
      <c r="GU91" s="145"/>
      <c r="GV91" s="145"/>
      <c r="GW91" s="145"/>
      <c r="GX91" s="145"/>
      <c r="GY91" s="145"/>
      <c r="GZ91" s="145"/>
      <c r="HA91" s="145"/>
      <c r="HB91" s="145"/>
      <c r="HC91" s="145"/>
      <c r="HD91" s="145"/>
      <c r="HE91" s="145"/>
      <c r="HF91" s="145"/>
      <c r="HG91" s="145"/>
      <c r="HH91" s="145"/>
      <c r="HI91" s="145"/>
      <c r="HJ91" s="145"/>
      <c r="HK91" s="145"/>
      <c r="HL91" s="145"/>
      <c r="HM91" s="145"/>
      <c r="HN91" s="145"/>
      <c r="HO91" s="145"/>
      <c r="HP91" s="145"/>
      <c r="HQ91" s="145"/>
      <c r="HR91" s="145"/>
      <c r="HS91" s="145"/>
      <c r="HT91" s="145"/>
      <c r="HU91" s="145"/>
      <c r="HV91" s="145"/>
      <c r="HW91" s="145"/>
      <c r="HX91" s="145"/>
      <c r="HY91" s="145"/>
      <c r="HZ91" s="145"/>
      <c r="IA91" s="145"/>
      <c r="IB91" s="145"/>
      <c r="IC91" s="145"/>
      <c r="ID91" s="145"/>
      <c r="IE91" s="145"/>
      <c r="IF91" s="145"/>
      <c r="IG91" s="145"/>
      <c r="IH91" s="145"/>
      <c r="II91" s="145"/>
      <c r="IJ91" s="145"/>
      <c r="IK91" s="145"/>
      <c r="IL91" s="145"/>
      <c r="IM91" s="145"/>
      <c r="IN91" s="145"/>
      <c r="IO91" s="145"/>
      <c r="IP91" s="145"/>
      <c r="IQ91" s="145"/>
      <c r="IR91" s="145"/>
      <c r="IS91" s="145"/>
      <c r="IT91" s="145"/>
      <c r="IU91" s="145"/>
      <c r="IV91" s="145"/>
    </row>
    <row r="92" spans="1:256" s="122" customFormat="1" ht="12.75">
      <c r="A92" s="138" t="s">
        <v>407</v>
      </c>
      <c r="B92" s="139"/>
      <c r="C92" s="139"/>
      <c r="D92" s="139"/>
      <c r="E92" s="139"/>
      <c r="F92" s="139"/>
      <c r="G92" s="139"/>
      <c r="H92" s="139"/>
      <c r="I92" s="139"/>
      <c r="J92" s="139"/>
      <c r="K92" s="141"/>
      <c r="L92" s="141"/>
      <c r="M92" s="200"/>
      <c r="N92" s="201"/>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45"/>
      <c r="DX92" s="145"/>
      <c r="DY92" s="145"/>
      <c r="DZ92" s="145"/>
      <c r="EA92" s="145"/>
      <c r="EB92" s="145"/>
      <c r="EC92" s="145"/>
      <c r="ED92" s="145"/>
      <c r="EE92" s="145"/>
      <c r="EF92" s="145"/>
      <c r="EG92" s="145"/>
      <c r="EH92" s="145"/>
      <c r="EI92" s="145"/>
      <c r="EJ92" s="145"/>
      <c r="EK92" s="145"/>
      <c r="EL92" s="145"/>
      <c r="EM92" s="145"/>
      <c r="EN92" s="145"/>
      <c r="EO92" s="145"/>
      <c r="EP92" s="145"/>
      <c r="EQ92" s="145"/>
      <c r="ER92" s="145"/>
      <c r="ES92" s="145"/>
      <c r="ET92" s="145"/>
      <c r="EU92" s="145"/>
      <c r="EV92" s="145"/>
      <c r="EW92" s="145"/>
      <c r="EX92" s="145"/>
      <c r="EY92" s="145"/>
      <c r="EZ92" s="145"/>
      <c r="FA92" s="145"/>
      <c r="FB92" s="145"/>
      <c r="FC92" s="145"/>
      <c r="FD92" s="145"/>
      <c r="FE92" s="145"/>
      <c r="FF92" s="145"/>
      <c r="FG92" s="145"/>
      <c r="FH92" s="145"/>
      <c r="FI92" s="145"/>
      <c r="FJ92" s="145"/>
      <c r="FK92" s="145"/>
      <c r="FL92" s="145"/>
      <c r="FM92" s="145"/>
      <c r="FN92" s="145"/>
      <c r="FO92" s="145"/>
      <c r="FP92" s="145"/>
      <c r="FQ92" s="145"/>
      <c r="FR92" s="145"/>
      <c r="FS92" s="145"/>
      <c r="FT92" s="145"/>
      <c r="FU92" s="145"/>
      <c r="FV92" s="145"/>
      <c r="FW92" s="145"/>
      <c r="FX92" s="145"/>
      <c r="FY92" s="145"/>
      <c r="FZ92" s="145"/>
      <c r="GA92" s="145"/>
      <c r="GB92" s="145"/>
      <c r="GC92" s="145"/>
      <c r="GD92" s="145"/>
      <c r="GE92" s="145"/>
      <c r="GF92" s="145"/>
      <c r="GG92" s="145"/>
      <c r="GH92" s="145"/>
      <c r="GI92" s="145"/>
      <c r="GJ92" s="145"/>
      <c r="GK92" s="145"/>
      <c r="GL92" s="145"/>
      <c r="GM92" s="145"/>
      <c r="GN92" s="145"/>
      <c r="GO92" s="145"/>
      <c r="GP92" s="145"/>
      <c r="GQ92" s="145"/>
      <c r="GR92" s="145"/>
      <c r="GS92" s="145"/>
      <c r="GT92" s="145"/>
      <c r="GU92" s="145"/>
      <c r="GV92" s="145"/>
      <c r="GW92" s="145"/>
      <c r="GX92" s="145"/>
      <c r="GY92" s="145"/>
      <c r="GZ92" s="145"/>
      <c r="HA92" s="145"/>
      <c r="HB92" s="145"/>
      <c r="HC92" s="145"/>
      <c r="HD92" s="145"/>
      <c r="HE92" s="145"/>
      <c r="HF92" s="145"/>
      <c r="HG92" s="145"/>
      <c r="HH92" s="145"/>
      <c r="HI92" s="145"/>
      <c r="HJ92" s="145"/>
      <c r="HK92" s="145"/>
      <c r="HL92" s="145"/>
      <c r="HM92" s="145"/>
      <c r="HN92" s="145"/>
      <c r="HO92" s="145"/>
      <c r="HP92" s="145"/>
      <c r="HQ92" s="145"/>
      <c r="HR92" s="145"/>
      <c r="HS92" s="145"/>
      <c r="HT92" s="145"/>
      <c r="HU92" s="145"/>
      <c r="HV92" s="145"/>
      <c r="HW92" s="145"/>
      <c r="HX92" s="145"/>
      <c r="HY92" s="145"/>
      <c r="HZ92" s="145"/>
      <c r="IA92" s="145"/>
      <c r="IB92" s="145"/>
      <c r="IC92" s="145"/>
      <c r="ID92" s="145"/>
      <c r="IE92" s="145"/>
      <c r="IF92" s="145"/>
      <c r="IG92" s="145"/>
      <c r="IH92" s="145"/>
      <c r="II92" s="145"/>
      <c r="IJ92" s="145"/>
      <c r="IK92" s="145"/>
      <c r="IL92" s="145"/>
      <c r="IM92" s="145"/>
      <c r="IN92" s="145"/>
      <c r="IO92" s="145"/>
      <c r="IP92" s="145"/>
      <c r="IQ92" s="145"/>
      <c r="IR92" s="145"/>
      <c r="IS92" s="145"/>
      <c r="IT92" s="145"/>
      <c r="IU92" s="145"/>
      <c r="IV92" s="145"/>
    </row>
    <row r="93" spans="1:256" s="122" customFormat="1" ht="12.75">
      <c r="A93" s="138" t="s">
        <v>408</v>
      </c>
      <c r="B93" s="139"/>
      <c r="C93" s="139"/>
      <c r="D93" s="139"/>
      <c r="E93" s="139"/>
      <c r="F93" s="139"/>
      <c r="G93" s="139"/>
      <c r="H93" s="139"/>
      <c r="I93" s="139"/>
      <c r="J93" s="139"/>
      <c r="K93" s="141"/>
      <c r="L93" s="141"/>
      <c r="M93" s="200"/>
      <c r="N93" s="201"/>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45"/>
      <c r="DX93" s="145"/>
      <c r="DY93" s="145"/>
      <c r="DZ93" s="145"/>
      <c r="EA93" s="145"/>
      <c r="EB93" s="145"/>
      <c r="EC93" s="145"/>
      <c r="ED93" s="145"/>
      <c r="EE93" s="145"/>
      <c r="EF93" s="145"/>
      <c r="EG93" s="145"/>
      <c r="EH93" s="145"/>
      <c r="EI93" s="145"/>
      <c r="EJ93" s="145"/>
      <c r="EK93" s="145"/>
      <c r="EL93" s="145"/>
      <c r="EM93" s="145"/>
      <c r="EN93" s="145"/>
      <c r="EO93" s="145"/>
      <c r="EP93" s="145"/>
      <c r="EQ93" s="145"/>
      <c r="ER93" s="145"/>
      <c r="ES93" s="145"/>
      <c r="ET93" s="145"/>
      <c r="EU93" s="145"/>
      <c r="EV93" s="145"/>
      <c r="EW93" s="145"/>
      <c r="EX93" s="145"/>
      <c r="EY93" s="145"/>
      <c r="EZ93" s="145"/>
      <c r="FA93" s="145"/>
      <c r="FB93" s="145"/>
      <c r="FC93" s="145"/>
      <c r="FD93" s="145"/>
      <c r="FE93" s="145"/>
      <c r="FF93" s="145"/>
      <c r="FG93" s="145"/>
      <c r="FH93" s="145"/>
      <c r="FI93" s="145"/>
      <c r="FJ93" s="145"/>
      <c r="FK93" s="145"/>
      <c r="FL93" s="145"/>
      <c r="FM93" s="145"/>
      <c r="FN93" s="145"/>
      <c r="FO93" s="145"/>
      <c r="FP93" s="145"/>
      <c r="FQ93" s="145"/>
      <c r="FR93" s="145"/>
      <c r="FS93" s="145"/>
      <c r="FT93" s="145"/>
      <c r="FU93" s="145"/>
      <c r="FV93" s="145"/>
      <c r="FW93" s="145"/>
      <c r="FX93" s="145"/>
      <c r="FY93" s="145"/>
      <c r="FZ93" s="145"/>
      <c r="GA93" s="145"/>
      <c r="GB93" s="145"/>
      <c r="GC93" s="145"/>
      <c r="GD93" s="145"/>
      <c r="GE93" s="145"/>
      <c r="GF93" s="145"/>
      <c r="GG93" s="145"/>
      <c r="GH93" s="145"/>
      <c r="GI93" s="145"/>
      <c r="GJ93" s="145"/>
      <c r="GK93" s="145"/>
      <c r="GL93" s="145"/>
      <c r="GM93" s="145"/>
      <c r="GN93" s="145"/>
      <c r="GO93" s="145"/>
      <c r="GP93" s="145"/>
      <c r="GQ93" s="145"/>
      <c r="GR93" s="145"/>
      <c r="GS93" s="145"/>
      <c r="GT93" s="145"/>
      <c r="GU93" s="145"/>
      <c r="GV93" s="145"/>
      <c r="GW93" s="145"/>
      <c r="GX93" s="145"/>
      <c r="GY93" s="145"/>
      <c r="GZ93" s="145"/>
      <c r="HA93" s="145"/>
      <c r="HB93" s="145"/>
      <c r="HC93" s="145"/>
      <c r="HD93" s="145"/>
      <c r="HE93" s="145"/>
      <c r="HF93" s="145"/>
      <c r="HG93" s="145"/>
      <c r="HH93" s="145"/>
      <c r="HI93" s="145"/>
      <c r="HJ93" s="145"/>
      <c r="HK93" s="145"/>
      <c r="HL93" s="145"/>
      <c r="HM93" s="145"/>
      <c r="HN93" s="145"/>
      <c r="HO93" s="145"/>
      <c r="HP93" s="145"/>
      <c r="HQ93" s="145"/>
      <c r="HR93" s="145"/>
      <c r="HS93" s="145"/>
      <c r="HT93" s="145"/>
      <c r="HU93" s="145"/>
      <c r="HV93" s="145"/>
      <c r="HW93" s="145"/>
      <c r="HX93" s="145"/>
      <c r="HY93" s="145"/>
      <c r="HZ93" s="145"/>
      <c r="IA93" s="145"/>
      <c r="IB93" s="145"/>
      <c r="IC93" s="145"/>
      <c r="ID93" s="145"/>
      <c r="IE93" s="145"/>
      <c r="IF93" s="145"/>
      <c r="IG93" s="145"/>
      <c r="IH93" s="145"/>
      <c r="II93" s="145"/>
      <c r="IJ93" s="145"/>
      <c r="IK93" s="145"/>
      <c r="IL93" s="145"/>
      <c r="IM93" s="145"/>
      <c r="IN93" s="145"/>
      <c r="IO93" s="145"/>
      <c r="IP93" s="145"/>
      <c r="IQ93" s="145"/>
      <c r="IR93" s="145"/>
      <c r="IS93" s="145"/>
      <c r="IT93" s="145"/>
      <c r="IU93" s="145"/>
      <c r="IV93" s="145"/>
    </row>
    <row r="94" spans="1:256" s="122" customFormat="1" ht="12.75">
      <c r="A94" s="138" t="s">
        <v>409</v>
      </c>
      <c r="B94" s="139"/>
      <c r="C94" s="139"/>
      <c r="D94" s="139"/>
      <c r="E94" s="139"/>
      <c r="F94" s="139"/>
      <c r="G94" s="139"/>
      <c r="H94" s="139"/>
      <c r="I94" s="139"/>
      <c r="J94" s="139"/>
      <c r="K94" s="141"/>
      <c r="L94" s="141"/>
      <c r="M94" s="200"/>
      <c r="N94" s="201"/>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c r="EQ94" s="145"/>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c r="GM94" s="145"/>
      <c r="GN94" s="145"/>
      <c r="GO94" s="145"/>
      <c r="GP94" s="145"/>
      <c r="GQ94" s="145"/>
      <c r="GR94" s="145"/>
      <c r="GS94" s="145"/>
      <c r="GT94" s="145"/>
      <c r="GU94" s="145"/>
      <c r="GV94" s="145"/>
      <c r="GW94" s="145"/>
      <c r="GX94" s="145"/>
      <c r="GY94" s="145"/>
      <c r="GZ94" s="145"/>
      <c r="HA94" s="145"/>
      <c r="HB94" s="145"/>
      <c r="HC94" s="145"/>
      <c r="HD94" s="145"/>
      <c r="HE94" s="145"/>
      <c r="HF94" s="145"/>
      <c r="HG94" s="145"/>
      <c r="HH94" s="145"/>
      <c r="HI94" s="145"/>
      <c r="HJ94" s="145"/>
      <c r="HK94" s="145"/>
      <c r="HL94" s="145"/>
      <c r="HM94" s="145"/>
      <c r="HN94" s="145"/>
      <c r="HO94" s="145"/>
      <c r="HP94" s="145"/>
      <c r="HQ94" s="145"/>
      <c r="HR94" s="145"/>
      <c r="HS94" s="145"/>
      <c r="HT94" s="145"/>
      <c r="HU94" s="145"/>
      <c r="HV94" s="145"/>
      <c r="HW94" s="145"/>
      <c r="HX94" s="145"/>
      <c r="HY94" s="145"/>
      <c r="HZ94" s="145"/>
      <c r="IA94" s="145"/>
      <c r="IB94" s="145"/>
      <c r="IC94" s="145"/>
      <c r="ID94" s="145"/>
      <c r="IE94" s="145"/>
      <c r="IF94" s="145"/>
      <c r="IG94" s="145"/>
      <c r="IH94" s="145"/>
      <c r="II94" s="145"/>
      <c r="IJ94" s="145"/>
      <c r="IK94" s="145"/>
      <c r="IL94" s="145"/>
      <c r="IM94" s="145"/>
      <c r="IN94" s="145"/>
      <c r="IO94" s="145"/>
      <c r="IP94" s="145"/>
      <c r="IQ94" s="145"/>
      <c r="IR94" s="145"/>
      <c r="IS94" s="145"/>
      <c r="IT94" s="145"/>
      <c r="IU94" s="145"/>
      <c r="IV94" s="145"/>
    </row>
    <row r="95" spans="1:256" s="122" customFormat="1" ht="12.75">
      <c r="A95" s="138" t="s">
        <v>410</v>
      </c>
      <c r="B95" s="139"/>
      <c r="C95" s="139"/>
      <c r="D95" s="139"/>
      <c r="E95" s="139"/>
      <c r="F95" s="139"/>
      <c r="G95" s="139"/>
      <c r="H95" s="139"/>
      <c r="I95" s="139"/>
      <c r="J95" s="139"/>
      <c r="K95" s="141"/>
      <c r="L95" s="141"/>
      <c r="M95" s="200"/>
      <c r="N95" s="201"/>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c r="EQ95" s="145"/>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c r="GM95" s="145"/>
      <c r="GN95" s="145"/>
      <c r="GO95" s="145"/>
      <c r="GP95" s="145"/>
      <c r="GQ95" s="145"/>
      <c r="GR95" s="145"/>
      <c r="GS95" s="145"/>
      <c r="GT95" s="145"/>
      <c r="GU95" s="145"/>
      <c r="GV95" s="145"/>
      <c r="GW95" s="145"/>
      <c r="GX95" s="145"/>
      <c r="GY95" s="145"/>
      <c r="GZ95" s="145"/>
      <c r="HA95" s="145"/>
      <c r="HB95" s="145"/>
      <c r="HC95" s="145"/>
      <c r="HD95" s="145"/>
      <c r="HE95" s="145"/>
      <c r="HF95" s="145"/>
      <c r="HG95" s="145"/>
      <c r="HH95" s="145"/>
      <c r="HI95" s="145"/>
      <c r="HJ95" s="145"/>
      <c r="HK95" s="145"/>
      <c r="HL95" s="145"/>
      <c r="HM95" s="145"/>
      <c r="HN95" s="145"/>
      <c r="HO95" s="145"/>
      <c r="HP95" s="145"/>
      <c r="HQ95" s="145"/>
      <c r="HR95" s="145"/>
      <c r="HS95" s="145"/>
      <c r="HT95" s="145"/>
      <c r="HU95" s="145"/>
      <c r="HV95" s="145"/>
      <c r="HW95" s="145"/>
      <c r="HX95" s="145"/>
      <c r="HY95" s="145"/>
      <c r="HZ95" s="145"/>
      <c r="IA95" s="145"/>
      <c r="IB95" s="145"/>
      <c r="IC95" s="145"/>
      <c r="ID95" s="145"/>
      <c r="IE95" s="145"/>
      <c r="IF95" s="145"/>
      <c r="IG95" s="145"/>
      <c r="IH95" s="145"/>
      <c r="II95" s="145"/>
      <c r="IJ95" s="145"/>
      <c r="IK95" s="145"/>
      <c r="IL95" s="145"/>
      <c r="IM95" s="145"/>
      <c r="IN95" s="145"/>
      <c r="IO95" s="145"/>
      <c r="IP95" s="145"/>
      <c r="IQ95" s="145"/>
      <c r="IR95" s="145"/>
      <c r="IS95" s="145"/>
      <c r="IT95" s="145"/>
      <c r="IU95" s="145"/>
      <c r="IV95" s="145"/>
    </row>
    <row r="96" spans="1:256" s="122" customFormat="1" ht="12.75">
      <c r="A96" s="138" t="s">
        <v>411</v>
      </c>
      <c r="B96" s="139"/>
      <c r="C96" s="139"/>
      <c r="D96" s="139"/>
      <c r="E96" s="139"/>
      <c r="F96" s="139"/>
      <c r="G96" s="139"/>
      <c r="H96" s="139"/>
      <c r="I96" s="139"/>
      <c r="J96" s="139"/>
      <c r="K96" s="141"/>
      <c r="L96" s="141"/>
      <c r="M96" s="200"/>
      <c r="N96" s="201"/>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c r="GM96" s="145"/>
      <c r="GN96" s="145"/>
      <c r="GO96" s="145"/>
      <c r="GP96" s="145"/>
      <c r="GQ96" s="145"/>
      <c r="GR96" s="145"/>
      <c r="GS96" s="145"/>
      <c r="GT96" s="145"/>
      <c r="GU96" s="145"/>
      <c r="GV96" s="145"/>
      <c r="GW96" s="145"/>
      <c r="GX96" s="145"/>
      <c r="GY96" s="145"/>
      <c r="GZ96" s="145"/>
      <c r="HA96" s="145"/>
      <c r="HB96" s="145"/>
      <c r="HC96" s="145"/>
      <c r="HD96" s="145"/>
      <c r="HE96" s="145"/>
      <c r="HF96" s="145"/>
      <c r="HG96" s="145"/>
      <c r="HH96" s="145"/>
      <c r="HI96" s="145"/>
      <c r="HJ96" s="145"/>
      <c r="HK96" s="145"/>
      <c r="HL96" s="145"/>
      <c r="HM96" s="145"/>
      <c r="HN96" s="145"/>
      <c r="HO96" s="145"/>
      <c r="HP96" s="145"/>
      <c r="HQ96" s="145"/>
      <c r="HR96" s="145"/>
      <c r="HS96" s="145"/>
      <c r="HT96" s="145"/>
      <c r="HU96" s="145"/>
      <c r="HV96" s="145"/>
      <c r="HW96" s="145"/>
      <c r="HX96" s="145"/>
      <c r="HY96" s="145"/>
      <c r="HZ96" s="145"/>
      <c r="IA96" s="145"/>
      <c r="IB96" s="145"/>
      <c r="IC96" s="145"/>
      <c r="ID96" s="145"/>
      <c r="IE96" s="145"/>
      <c r="IF96" s="145"/>
      <c r="IG96" s="145"/>
      <c r="IH96" s="145"/>
      <c r="II96" s="145"/>
      <c r="IJ96" s="145"/>
      <c r="IK96" s="145"/>
      <c r="IL96" s="145"/>
      <c r="IM96" s="145"/>
      <c r="IN96" s="145"/>
      <c r="IO96" s="145"/>
      <c r="IP96" s="145"/>
      <c r="IQ96" s="145"/>
      <c r="IR96" s="145"/>
      <c r="IS96" s="145"/>
      <c r="IT96" s="145"/>
      <c r="IU96" s="145"/>
      <c r="IV96" s="145"/>
    </row>
    <row r="97" spans="1:256" s="122" customFormat="1" ht="12.75">
      <c r="A97" s="138"/>
      <c r="B97" s="139"/>
      <c r="C97" s="139"/>
      <c r="D97" s="139"/>
      <c r="E97" s="139"/>
      <c r="F97" s="139"/>
      <c r="G97" s="139"/>
      <c r="H97" s="139"/>
      <c r="I97" s="139"/>
      <c r="J97" s="139"/>
      <c r="K97" s="141"/>
      <c r="L97" s="141"/>
      <c r="M97" s="200"/>
      <c r="N97" s="201"/>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c r="GT97" s="145"/>
      <c r="GU97" s="145"/>
      <c r="GV97" s="145"/>
      <c r="GW97" s="145"/>
      <c r="GX97" s="145"/>
      <c r="GY97" s="145"/>
      <c r="GZ97" s="145"/>
      <c r="HA97" s="145"/>
      <c r="HB97" s="145"/>
      <c r="HC97" s="145"/>
      <c r="HD97" s="145"/>
      <c r="HE97" s="145"/>
      <c r="HF97" s="145"/>
      <c r="HG97" s="145"/>
      <c r="HH97" s="145"/>
      <c r="HI97" s="145"/>
      <c r="HJ97" s="145"/>
      <c r="HK97" s="145"/>
      <c r="HL97" s="145"/>
      <c r="HM97" s="145"/>
      <c r="HN97" s="145"/>
      <c r="HO97" s="145"/>
      <c r="HP97" s="145"/>
      <c r="HQ97" s="145"/>
      <c r="HR97" s="145"/>
      <c r="HS97" s="145"/>
      <c r="HT97" s="145"/>
      <c r="HU97" s="145"/>
      <c r="HV97" s="145"/>
      <c r="HW97" s="145"/>
      <c r="HX97" s="145"/>
      <c r="HY97" s="145"/>
      <c r="HZ97" s="145"/>
      <c r="IA97" s="145"/>
      <c r="IB97" s="145"/>
      <c r="IC97" s="145"/>
      <c r="ID97" s="145"/>
      <c r="IE97" s="145"/>
      <c r="IF97" s="145"/>
      <c r="IG97" s="145"/>
      <c r="IH97" s="145"/>
      <c r="II97" s="145"/>
      <c r="IJ97" s="145"/>
      <c r="IK97" s="145"/>
      <c r="IL97" s="145"/>
      <c r="IM97" s="145"/>
      <c r="IN97" s="145"/>
      <c r="IO97" s="145"/>
      <c r="IP97" s="145"/>
      <c r="IQ97" s="145"/>
      <c r="IR97" s="145"/>
      <c r="IS97" s="145"/>
      <c r="IT97" s="145"/>
      <c r="IU97" s="145"/>
      <c r="IV97" s="145"/>
    </row>
    <row r="98" spans="1:256" s="122" customFormat="1" ht="12.75">
      <c r="A98" s="138" t="s">
        <v>412</v>
      </c>
      <c r="B98" s="139"/>
      <c r="C98" s="139"/>
      <c r="D98" s="139"/>
      <c r="E98" s="139"/>
      <c r="F98" s="139"/>
      <c r="G98" s="139"/>
      <c r="H98" s="139"/>
      <c r="I98" s="139"/>
      <c r="J98" s="139"/>
      <c r="K98" s="141"/>
      <c r="L98" s="141"/>
      <c r="M98" s="200"/>
      <c r="N98" s="201"/>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c r="DH98" s="145"/>
      <c r="DI98" s="145"/>
      <c r="DJ98" s="145"/>
      <c r="DK98" s="145"/>
      <c r="DL98" s="145"/>
      <c r="DM98" s="145"/>
      <c r="DN98" s="145"/>
      <c r="DO98" s="145"/>
      <c r="DP98" s="145"/>
      <c r="DQ98" s="145"/>
      <c r="DR98" s="145"/>
      <c r="DS98" s="145"/>
      <c r="DT98" s="145"/>
      <c r="DU98" s="145"/>
      <c r="DV98" s="145"/>
      <c r="DW98" s="145"/>
      <c r="DX98" s="145"/>
      <c r="DY98" s="145"/>
      <c r="DZ98" s="145"/>
      <c r="EA98" s="145"/>
      <c r="EB98" s="145"/>
      <c r="EC98" s="145"/>
      <c r="ED98" s="145"/>
      <c r="EE98" s="145"/>
      <c r="EF98" s="145"/>
      <c r="EG98" s="145"/>
      <c r="EH98" s="145"/>
      <c r="EI98" s="145"/>
      <c r="EJ98" s="145"/>
      <c r="EK98" s="145"/>
      <c r="EL98" s="145"/>
      <c r="EM98" s="145"/>
      <c r="EN98" s="145"/>
      <c r="EO98" s="145"/>
      <c r="EP98" s="145"/>
      <c r="EQ98" s="145"/>
      <c r="ER98" s="145"/>
      <c r="ES98" s="145"/>
      <c r="ET98" s="145"/>
      <c r="EU98" s="145"/>
      <c r="EV98" s="145"/>
      <c r="EW98" s="145"/>
      <c r="EX98" s="145"/>
      <c r="EY98" s="145"/>
      <c r="EZ98" s="145"/>
      <c r="FA98" s="145"/>
      <c r="FB98" s="145"/>
      <c r="FC98" s="145"/>
      <c r="FD98" s="145"/>
      <c r="FE98" s="145"/>
      <c r="FF98" s="145"/>
      <c r="FG98" s="145"/>
      <c r="FH98" s="145"/>
      <c r="FI98" s="145"/>
      <c r="FJ98" s="145"/>
      <c r="FK98" s="145"/>
      <c r="FL98" s="145"/>
      <c r="FM98" s="145"/>
      <c r="FN98" s="145"/>
      <c r="FO98" s="145"/>
      <c r="FP98" s="145"/>
      <c r="FQ98" s="145"/>
      <c r="FR98" s="145"/>
      <c r="FS98" s="145"/>
      <c r="FT98" s="145"/>
      <c r="FU98" s="145"/>
      <c r="FV98" s="145"/>
      <c r="FW98" s="145"/>
      <c r="FX98" s="145"/>
      <c r="FY98" s="145"/>
      <c r="FZ98" s="145"/>
      <c r="GA98" s="145"/>
      <c r="GB98" s="145"/>
      <c r="GC98" s="145"/>
      <c r="GD98" s="145"/>
      <c r="GE98" s="145"/>
      <c r="GF98" s="145"/>
      <c r="GG98" s="145"/>
      <c r="GH98" s="145"/>
      <c r="GI98" s="145"/>
      <c r="GJ98" s="145"/>
      <c r="GK98" s="145"/>
      <c r="GL98" s="145"/>
      <c r="GM98" s="145"/>
      <c r="GN98" s="145"/>
      <c r="GO98" s="145"/>
      <c r="GP98" s="145"/>
      <c r="GQ98" s="145"/>
      <c r="GR98" s="145"/>
      <c r="GS98" s="145"/>
      <c r="GT98" s="145"/>
      <c r="GU98" s="145"/>
      <c r="GV98" s="145"/>
      <c r="GW98" s="145"/>
      <c r="GX98" s="145"/>
      <c r="GY98" s="145"/>
      <c r="GZ98" s="145"/>
      <c r="HA98" s="145"/>
      <c r="HB98" s="145"/>
      <c r="HC98" s="145"/>
      <c r="HD98" s="145"/>
      <c r="HE98" s="145"/>
      <c r="HF98" s="145"/>
      <c r="HG98" s="145"/>
      <c r="HH98" s="145"/>
      <c r="HI98" s="145"/>
      <c r="HJ98" s="145"/>
      <c r="HK98" s="145"/>
      <c r="HL98" s="145"/>
      <c r="HM98" s="145"/>
      <c r="HN98" s="145"/>
      <c r="HO98" s="145"/>
      <c r="HP98" s="145"/>
      <c r="HQ98" s="145"/>
      <c r="HR98" s="145"/>
      <c r="HS98" s="145"/>
      <c r="HT98" s="145"/>
      <c r="HU98" s="145"/>
      <c r="HV98" s="145"/>
      <c r="HW98" s="145"/>
      <c r="HX98" s="145"/>
      <c r="HY98" s="145"/>
      <c r="HZ98" s="145"/>
      <c r="IA98" s="145"/>
      <c r="IB98" s="145"/>
      <c r="IC98" s="145"/>
      <c r="ID98" s="145"/>
      <c r="IE98" s="145"/>
      <c r="IF98" s="145"/>
      <c r="IG98" s="145"/>
      <c r="IH98" s="145"/>
      <c r="II98" s="145"/>
      <c r="IJ98" s="145"/>
      <c r="IK98" s="145"/>
      <c r="IL98" s="145"/>
      <c r="IM98" s="145"/>
      <c r="IN98" s="145"/>
      <c r="IO98" s="145"/>
      <c r="IP98" s="145"/>
      <c r="IQ98" s="145"/>
      <c r="IR98" s="145"/>
      <c r="IS98" s="145"/>
      <c r="IT98" s="145"/>
      <c r="IU98" s="145"/>
      <c r="IV98" s="145"/>
    </row>
    <row r="99" spans="1:256" s="122" customFormat="1" ht="12.75">
      <c r="A99" s="202" t="s">
        <v>413</v>
      </c>
      <c r="B99" s="139"/>
      <c r="C99" s="139"/>
      <c r="D99" s="139"/>
      <c r="E99" s="139"/>
      <c r="F99" s="139"/>
      <c r="G99" s="139"/>
      <c r="H99" s="139"/>
      <c r="I99" s="139"/>
      <c r="J99" s="139"/>
      <c r="K99" s="141"/>
      <c r="L99" s="141"/>
      <c r="M99" s="200"/>
      <c r="N99" s="201"/>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c r="DO99" s="145"/>
      <c r="DP99" s="145"/>
      <c r="DQ99" s="145"/>
      <c r="DR99" s="145"/>
      <c r="DS99" s="145"/>
      <c r="DT99" s="145"/>
      <c r="DU99" s="145"/>
      <c r="DV99" s="145"/>
      <c r="DW99" s="145"/>
      <c r="DX99" s="145"/>
      <c r="DY99" s="145"/>
      <c r="DZ99" s="145"/>
      <c r="EA99" s="145"/>
      <c r="EB99" s="145"/>
      <c r="EC99" s="145"/>
      <c r="ED99" s="145"/>
      <c r="EE99" s="145"/>
      <c r="EF99" s="145"/>
      <c r="EG99" s="145"/>
      <c r="EH99" s="145"/>
      <c r="EI99" s="145"/>
      <c r="EJ99" s="145"/>
      <c r="EK99" s="145"/>
      <c r="EL99" s="145"/>
      <c r="EM99" s="145"/>
      <c r="EN99" s="145"/>
      <c r="EO99" s="145"/>
      <c r="EP99" s="145"/>
      <c r="EQ99" s="145"/>
      <c r="ER99" s="145"/>
      <c r="ES99" s="145"/>
      <c r="ET99" s="145"/>
      <c r="EU99" s="145"/>
      <c r="EV99" s="145"/>
      <c r="EW99" s="145"/>
      <c r="EX99" s="145"/>
      <c r="EY99" s="145"/>
      <c r="EZ99" s="145"/>
      <c r="FA99" s="145"/>
      <c r="FB99" s="145"/>
      <c r="FC99" s="145"/>
      <c r="FD99" s="145"/>
      <c r="FE99" s="145"/>
      <c r="FF99" s="145"/>
      <c r="FG99" s="145"/>
      <c r="FH99" s="145"/>
      <c r="FI99" s="145"/>
      <c r="FJ99" s="145"/>
      <c r="FK99" s="145"/>
      <c r="FL99" s="145"/>
      <c r="FM99" s="145"/>
      <c r="FN99" s="145"/>
      <c r="FO99" s="145"/>
      <c r="FP99" s="145"/>
      <c r="FQ99" s="145"/>
      <c r="FR99" s="145"/>
      <c r="FS99" s="145"/>
      <c r="FT99" s="145"/>
      <c r="FU99" s="145"/>
      <c r="FV99" s="145"/>
      <c r="FW99" s="145"/>
      <c r="FX99" s="145"/>
      <c r="FY99" s="145"/>
      <c r="FZ99" s="145"/>
      <c r="GA99" s="145"/>
      <c r="GB99" s="145"/>
      <c r="GC99" s="145"/>
      <c r="GD99" s="145"/>
      <c r="GE99" s="145"/>
      <c r="GF99" s="145"/>
      <c r="GG99" s="145"/>
      <c r="GH99" s="145"/>
      <c r="GI99" s="145"/>
      <c r="GJ99" s="145"/>
      <c r="GK99" s="145"/>
      <c r="GL99" s="145"/>
      <c r="GM99" s="145"/>
      <c r="GN99" s="145"/>
      <c r="GO99" s="145"/>
      <c r="GP99" s="145"/>
      <c r="GQ99" s="145"/>
      <c r="GR99" s="145"/>
      <c r="GS99" s="145"/>
      <c r="GT99" s="145"/>
      <c r="GU99" s="145"/>
      <c r="GV99" s="145"/>
      <c r="GW99" s="145"/>
      <c r="GX99" s="145"/>
      <c r="GY99" s="145"/>
      <c r="GZ99" s="145"/>
      <c r="HA99" s="145"/>
      <c r="HB99" s="145"/>
      <c r="HC99" s="145"/>
      <c r="HD99" s="145"/>
      <c r="HE99" s="145"/>
      <c r="HF99" s="145"/>
      <c r="HG99" s="145"/>
      <c r="HH99" s="145"/>
      <c r="HI99" s="145"/>
      <c r="HJ99" s="145"/>
      <c r="HK99" s="145"/>
      <c r="HL99" s="145"/>
      <c r="HM99" s="145"/>
      <c r="HN99" s="145"/>
      <c r="HO99" s="145"/>
      <c r="HP99" s="145"/>
      <c r="HQ99" s="145"/>
      <c r="HR99" s="145"/>
      <c r="HS99" s="145"/>
      <c r="HT99" s="145"/>
      <c r="HU99" s="145"/>
      <c r="HV99" s="145"/>
      <c r="HW99" s="145"/>
      <c r="HX99" s="145"/>
      <c r="HY99" s="145"/>
      <c r="HZ99" s="145"/>
      <c r="IA99" s="145"/>
      <c r="IB99" s="145"/>
      <c r="IC99" s="145"/>
      <c r="ID99" s="145"/>
      <c r="IE99" s="145"/>
      <c r="IF99" s="145"/>
      <c r="IG99" s="145"/>
      <c r="IH99" s="145"/>
      <c r="II99" s="145"/>
      <c r="IJ99" s="145"/>
      <c r="IK99" s="145"/>
      <c r="IL99" s="145"/>
      <c r="IM99" s="145"/>
      <c r="IN99" s="145"/>
      <c r="IO99" s="145"/>
      <c r="IP99" s="145"/>
      <c r="IQ99" s="145"/>
      <c r="IR99" s="145"/>
      <c r="IS99" s="145"/>
      <c r="IT99" s="145"/>
      <c r="IU99" s="145"/>
      <c r="IV99" s="145"/>
    </row>
    <row r="100" spans="1:256" s="122" customFormat="1" ht="12.75">
      <c r="A100" s="138"/>
      <c r="B100" s="139"/>
      <c r="C100" s="139"/>
      <c r="D100" s="139"/>
      <c r="E100" s="139"/>
      <c r="F100" s="139"/>
      <c r="G100" s="139"/>
      <c r="H100" s="139"/>
      <c r="I100" s="139"/>
      <c r="J100" s="139"/>
      <c r="K100" s="141"/>
      <c r="L100" s="141"/>
      <c r="M100" s="200"/>
      <c r="N100" s="201"/>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c r="FI100" s="145"/>
      <c r="FJ100" s="145"/>
      <c r="FK100" s="145"/>
      <c r="FL100" s="145"/>
      <c r="FM100" s="145"/>
      <c r="FN100" s="145"/>
      <c r="FO100" s="145"/>
      <c r="FP100" s="145"/>
      <c r="FQ100" s="145"/>
      <c r="FR100" s="145"/>
      <c r="FS100" s="145"/>
      <c r="FT100" s="145"/>
      <c r="FU100" s="145"/>
      <c r="FV100" s="145"/>
      <c r="FW100" s="145"/>
      <c r="FX100" s="145"/>
      <c r="FY100" s="145"/>
      <c r="FZ100" s="145"/>
      <c r="GA100" s="145"/>
      <c r="GB100" s="145"/>
      <c r="GC100" s="145"/>
      <c r="GD100" s="145"/>
      <c r="GE100" s="145"/>
      <c r="GF100" s="145"/>
      <c r="GG100" s="145"/>
      <c r="GH100" s="145"/>
      <c r="GI100" s="145"/>
      <c r="GJ100" s="145"/>
      <c r="GK100" s="145"/>
      <c r="GL100" s="145"/>
      <c r="GM100" s="145"/>
      <c r="GN100" s="145"/>
      <c r="GO100" s="145"/>
      <c r="GP100" s="145"/>
      <c r="GQ100" s="145"/>
      <c r="GR100" s="145"/>
      <c r="GS100" s="145"/>
      <c r="GT100" s="145"/>
      <c r="GU100" s="145"/>
      <c r="GV100" s="145"/>
      <c r="GW100" s="145"/>
      <c r="GX100" s="145"/>
      <c r="GY100" s="145"/>
      <c r="GZ100" s="145"/>
      <c r="HA100" s="145"/>
      <c r="HB100" s="145"/>
      <c r="HC100" s="145"/>
      <c r="HD100" s="145"/>
      <c r="HE100" s="145"/>
      <c r="HF100" s="145"/>
      <c r="HG100" s="145"/>
      <c r="HH100" s="145"/>
      <c r="HI100" s="145"/>
      <c r="HJ100" s="145"/>
      <c r="HK100" s="145"/>
      <c r="HL100" s="145"/>
      <c r="HM100" s="145"/>
      <c r="HN100" s="145"/>
      <c r="HO100" s="145"/>
      <c r="HP100" s="145"/>
      <c r="HQ100" s="145"/>
      <c r="HR100" s="145"/>
      <c r="HS100" s="145"/>
      <c r="HT100" s="145"/>
      <c r="HU100" s="145"/>
      <c r="HV100" s="145"/>
      <c r="HW100" s="145"/>
      <c r="HX100" s="145"/>
      <c r="HY100" s="145"/>
      <c r="HZ100" s="145"/>
      <c r="IA100" s="145"/>
      <c r="IB100" s="145"/>
      <c r="IC100" s="145"/>
      <c r="ID100" s="145"/>
      <c r="IE100" s="145"/>
      <c r="IF100" s="145"/>
      <c r="IG100" s="145"/>
      <c r="IH100" s="145"/>
      <c r="II100" s="145"/>
      <c r="IJ100" s="145"/>
      <c r="IK100" s="145"/>
      <c r="IL100" s="145"/>
      <c r="IM100" s="145"/>
      <c r="IN100" s="145"/>
      <c r="IO100" s="145"/>
      <c r="IP100" s="145"/>
      <c r="IQ100" s="145"/>
      <c r="IR100" s="145"/>
      <c r="IS100" s="145"/>
      <c r="IT100" s="145"/>
      <c r="IU100" s="145"/>
      <c r="IV100" s="145"/>
    </row>
    <row r="101" spans="1:256" s="122" customFormat="1" ht="25.5">
      <c r="A101" s="203" t="s">
        <v>414</v>
      </c>
      <c r="B101" s="139"/>
      <c r="C101" s="139"/>
      <c r="D101" s="139"/>
      <c r="E101" s="139"/>
      <c r="F101" s="139"/>
      <c r="G101" s="139"/>
      <c r="H101" s="139"/>
      <c r="I101" s="139"/>
      <c r="J101" s="139"/>
      <c r="K101" s="141"/>
      <c r="L101" s="141"/>
      <c r="M101" s="200"/>
      <c r="N101" s="201"/>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c r="EE101" s="145"/>
      <c r="EF101" s="145"/>
      <c r="EG101" s="145"/>
      <c r="EH101" s="145"/>
      <c r="EI101" s="145"/>
      <c r="EJ101" s="145"/>
      <c r="EK101" s="145"/>
      <c r="EL101" s="145"/>
      <c r="EM101" s="145"/>
      <c r="EN101" s="145"/>
      <c r="EO101" s="145"/>
      <c r="EP101" s="145"/>
      <c r="EQ101" s="145"/>
      <c r="ER101" s="145"/>
      <c r="ES101" s="145"/>
      <c r="ET101" s="145"/>
      <c r="EU101" s="145"/>
      <c r="EV101" s="145"/>
      <c r="EW101" s="145"/>
      <c r="EX101" s="145"/>
      <c r="EY101" s="145"/>
      <c r="EZ101" s="145"/>
      <c r="FA101" s="145"/>
      <c r="FB101" s="145"/>
      <c r="FC101" s="145"/>
      <c r="FD101" s="145"/>
      <c r="FE101" s="145"/>
      <c r="FF101" s="145"/>
      <c r="FG101" s="145"/>
      <c r="FH101" s="145"/>
      <c r="FI101" s="145"/>
      <c r="FJ101" s="145"/>
      <c r="FK101" s="145"/>
      <c r="FL101" s="145"/>
      <c r="FM101" s="145"/>
      <c r="FN101" s="145"/>
      <c r="FO101" s="145"/>
      <c r="FP101" s="145"/>
      <c r="FQ101" s="145"/>
      <c r="FR101" s="145"/>
      <c r="FS101" s="145"/>
      <c r="FT101" s="145"/>
      <c r="FU101" s="145"/>
      <c r="FV101" s="145"/>
      <c r="FW101" s="145"/>
      <c r="FX101" s="145"/>
      <c r="FY101" s="145"/>
      <c r="FZ101" s="145"/>
      <c r="GA101" s="145"/>
      <c r="GB101" s="145"/>
      <c r="GC101" s="145"/>
      <c r="GD101" s="145"/>
      <c r="GE101" s="145"/>
      <c r="GF101" s="145"/>
      <c r="GG101" s="145"/>
      <c r="GH101" s="145"/>
      <c r="GI101" s="145"/>
      <c r="GJ101" s="145"/>
      <c r="GK101" s="145"/>
      <c r="GL101" s="145"/>
      <c r="GM101" s="145"/>
      <c r="GN101" s="145"/>
      <c r="GO101" s="145"/>
      <c r="GP101" s="145"/>
      <c r="GQ101" s="145"/>
      <c r="GR101" s="145"/>
      <c r="GS101" s="145"/>
      <c r="GT101" s="145"/>
      <c r="GU101" s="145"/>
      <c r="GV101" s="145"/>
      <c r="GW101" s="145"/>
      <c r="GX101" s="145"/>
      <c r="GY101" s="145"/>
      <c r="GZ101" s="145"/>
      <c r="HA101" s="145"/>
      <c r="HB101" s="145"/>
      <c r="HC101" s="145"/>
      <c r="HD101" s="145"/>
      <c r="HE101" s="145"/>
      <c r="HF101" s="145"/>
      <c r="HG101" s="145"/>
      <c r="HH101" s="145"/>
      <c r="HI101" s="145"/>
      <c r="HJ101" s="145"/>
      <c r="HK101" s="145"/>
      <c r="HL101" s="145"/>
      <c r="HM101" s="145"/>
      <c r="HN101" s="145"/>
      <c r="HO101" s="145"/>
      <c r="HP101" s="145"/>
      <c r="HQ101" s="145"/>
      <c r="HR101" s="145"/>
      <c r="HS101" s="145"/>
      <c r="HT101" s="145"/>
      <c r="HU101" s="145"/>
      <c r="HV101" s="145"/>
      <c r="HW101" s="145"/>
      <c r="HX101" s="145"/>
      <c r="HY101" s="145"/>
      <c r="HZ101" s="145"/>
      <c r="IA101" s="145"/>
      <c r="IB101" s="145"/>
      <c r="IC101" s="145"/>
      <c r="ID101" s="145"/>
      <c r="IE101" s="145"/>
      <c r="IF101" s="145"/>
      <c r="IG101" s="145"/>
      <c r="IH101" s="145"/>
      <c r="II101" s="145"/>
      <c r="IJ101" s="145"/>
      <c r="IK101" s="145"/>
      <c r="IL101" s="145"/>
      <c r="IM101" s="145"/>
      <c r="IN101" s="145"/>
      <c r="IO101" s="145"/>
      <c r="IP101" s="145"/>
      <c r="IQ101" s="145"/>
      <c r="IR101" s="145"/>
      <c r="IS101" s="145"/>
      <c r="IT101" s="145"/>
      <c r="IU101" s="145"/>
      <c r="IV101" s="145"/>
    </row>
    <row r="102" spans="1:256" s="122" customFormat="1" ht="13.5" thickBot="1">
      <c r="A102" s="204"/>
      <c r="B102" s="194"/>
      <c r="C102" s="194"/>
      <c r="D102" s="194"/>
      <c r="E102" s="194"/>
      <c r="F102" s="194"/>
      <c r="G102" s="194"/>
      <c r="H102" s="194"/>
      <c r="I102" s="194"/>
      <c r="J102" s="194"/>
      <c r="K102" s="156"/>
      <c r="L102" s="205"/>
      <c r="M102" s="200"/>
      <c r="N102" s="201"/>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F102" s="145"/>
      <c r="EG102" s="145"/>
      <c r="EH102" s="145"/>
      <c r="EI102" s="145"/>
      <c r="EJ102" s="145"/>
      <c r="EK102" s="145"/>
      <c r="EL102" s="145"/>
      <c r="EM102" s="145"/>
      <c r="EN102" s="145"/>
      <c r="EO102" s="145"/>
      <c r="EP102" s="145"/>
      <c r="EQ102" s="145"/>
      <c r="ER102" s="145"/>
      <c r="ES102" s="145"/>
      <c r="ET102" s="145"/>
      <c r="EU102" s="145"/>
      <c r="EV102" s="145"/>
      <c r="EW102" s="145"/>
      <c r="EX102" s="145"/>
      <c r="EY102" s="145"/>
      <c r="EZ102" s="145"/>
      <c r="FA102" s="145"/>
      <c r="FB102" s="145"/>
      <c r="FC102" s="145"/>
      <c r="FD102" s="145"/>
      <c r="FE102" s="145"/>
      <c r="FF102" s="145"/>
      <c r="FG102" s="145"/>
      <c r="FH102" s="145"/>
      <c r="FI102" s="145"/>
      <c r="FJ102" s="145"/>
      <c r="FK102" s="145"/>
      <c r="FL102" s="145"/>
      <c r="FM102" s="145"/>
      <c r="FN102" s="145"/>
      <c r="FO102" s="145"/>
      <c r="FP102" s="145"/>
      <c r="FQ102" s="145"/>
      <c r="FR102" s="145"/>
      <c r="FS102" s="145"/>
      <c r="FT102" s="145"/>
      <c r="FU102" s="145"/>
      <c r="FV102" s="145"/>
      <c r="FW102" s="145"/>
      <c r="FX102" s="145"/>
      <c r="FY102" s="145"/>
      <c r="FZ102" s="145"/>
      <c r="GA102" s="145"/>
      <c r="GB102" s="145"/>
      <c r="GC102" s="145"/>
      <c r="GD102" s="145"/>
      <c r="GE102" s="145"/>
      <c r="GF102" s="145"/>
      <c r="GG102" s="145"/>
      <c r="GH102" s="145"/>
      <c r="GI102" s="145"/>
      <c r="GJ102" s="145"/>
      <c r="GK102" s="145"/>
      <c r="GL102" s="145"/>
      <c r="GM102" s="145"/>
      <c r="GN102" s="145"/>
      <c r="GO102" s="145"/>
      <c r="GP102" s="145"/>
      <c r="GQ102" s="145"/>
      <c r="GR102" s="145"/>
      <c r="GS102" s="145"/>
      <c r="GT102" s="145"/>
      <c r="GU102" s="145"/>
      <c r="GV102" s="145"/>
      <c r="GW102" s="145"/>
      <c r="GX102" s="145"/>
      <c r="GY102" s="145"/>
      <c r="GZ102" s="145"/>
      <c r="HA102" s="145"/>
      <c r="HB102" s="145"/>
      <c r="HC102" s="145"/>
      <c r="HD102" s="145"/>
      <c r="HE102" s="145"/>
      <c r="HF102" s="145"/>
      <c r="HG102" s="145"/>
      <c r="HH102" s="145"/>
      <c r="HI102" s="145"/>
      <c r="HJ102" s="145"/>
      <c r="HK102" s="145"/>
      <c r="HL102" s="145"/>
      <c r="HM102" s="145"/>
      <c r="HN102" s="145"/>
      <c r="HO102" s="145"/>
      <c r="HP102" s="145"/>
      <c r="HQ102" s="145"/>
      <c r="HR102" s="145"/>
      <c r="HS102" s="145"/>
      <c r="HT102" s="145"/>
      <c r="HU102" s="145"/>
      <c r="HV102" s="145"/>
      <c r="HW102" s="145"/>
      <c r="HX102" s="145"/>
      <c r="HY102" s="145"/>
      <c r="HZ102" s="145"/>
      <c r="IA102" s="145"/>
      <c r="IB102" s="145"/>
      <c r="IC102" s="145"/>
      <c r="ID102" s="145"/>
      <c r="IE102" s="145"/>
      <c r="IF102" s="145"/>
      <c r="IG102" s="145"/>
      <c r="IH102" s="145"/>
      <c r="II102" s="145"/>
      <c r="IJ102" s="145"/>
      <c r="IK102" s="145"/>
      <c r="IL102" s="145"/>
      <c r="IM102" s="145"/>
      <c r="IN102" s="145"/>
      <c r="IO102" s="145"/>
      <c r="IP102" s="145"/>
      <c r="IQ102" s="145"/>
      <c r="IR102" s="145"/>
      <c r="IS102" s="145"/>
      <c r="IT102" s="145"/>
      <c r="IU102" s="145"/>
      <c r="IV102" s="145"/>
    </row>
    <row r="103" spans="1:256" ht="12.75">
      <c r="A103" s="206"/>
      <c r="B103" s="207"/>
      <c r="C103" s="207"/>
      <c r="D103" s="207"/>
      <c r="E103" s="207"/>
      <c r="F103" s="207"/>
      <c r="G103" s="207"/>
      <c r="H103" s="207"/>
      <c r="I103" s="207"/>
      <c r="J103" s="207"/>
      <c r="K103" s="208"/>
      <c r="L103" s="208"/>
      <c r="M103" s="209"/>
      <c r="N103" s="210"/>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7"/>
      <c r="BR103" s="207"/>
      <c r="BS103" s="207"/>
      <c r="BT103" s="207"/>
      <c r="BU103" s="207"/>
      <c r="BV103" s="207"/>
      <c r="BW103" s="207"/>
      <c r="BX103" s="207"/>
      <c r="BY103" s="207"/>
      <c r="BZ103" s="207"/>
      <c r="CA103" s="207"/>
      <c r="CB103" s="207"/>
      <c r="CC103" s="207"/>
      <c r="CD103" s="207"/>
      <c r="CE103" s="207"/>
      <c r="CF103" s="207"/>
      <c r="CG103" s="207"/>
      <c r="CH103" s="207"/>
      <c r="CI103" s="207"/>
      <c r="CJ103" s="207"/>
      <c r="CK103" s="207"/>
      <c r="CL103" s="207"/>
      <c r="CM103" s="207"/>
      <c r="CN103" s="207"/>
      <c r="CO103" s="207"/>
      <c r="CP103" s="207"/>
      <c r="CQ103" s="207"/>
      <c r="CR103" s="207"/>
      <c r="CS103" s="207"/>
      <c r="CT103" s="207"/>
      <c r="CU103" s="207"/>
      <c r="CV103" s="207"/>
      <c r="CW103" s="207"/>
      <c r="CX103" s="207"/>
      <c r="CY103" s="207"/>
      <c r="CZ103" s="207"/>
      <c r="DA103" s="207"/>
      <c r="DB103" s="207"/>
      <c r="DC103" s="207"/>
      <c r="DD103" s="207"/>
      <c r="DE103" s="207"/>
      <c r="DF103" s="207"/>
      <c r="DG103" s="207"/>
      <c r="DH103" s="207"/>
      <c r="DI103" s="207"/>
      <c r="DJ103" s="207"/>
      <c r="DK103" s="207"/>
      <c r="DL103" s="207"/>
      <c r="DM103" s="207"/>
      <c r="DN103" s="207"/>
      <c r="DO103" s="207"/>
      <c r="DP103" s="207"/>
      <c r="DQ103" s="207"/>
      <c r="DR103" s="207"/>
      <c r="DS103" s="207"/>
      <c r="DT103" s="207"/>
      <c r="DU103" s="207"/>
      <c r="DV103" s="207"/>
      <c r="DW103" s="207"/>
      <c r="DX103" s="207"/>
      <c r="DY103" s="207"/>
      <c r="DZ103" s="207"/>
      <c r="EA103" s="207"/>
      <c r="EB103" s="207"/>
      <c r="EC103" s="207"/>
      <c r="ED103" s="207"/>
      <c r="EE103" s="207"/>
      <c r="EF103" s="207"/>
      <c r="EG103" s="207"/>
      <c r="EH103" s="207"/>
      <c r="EI103" s="207"/>
      <c r="EJ103" s="207"/>
      <c r="EK103" s="207"/>
      <c r="EL103" s="207"/>
      <c r="EM103" s="207"/>
      <c r="EN103" s="207"/>
      <c r="EO103" s="207"/>
      <c r="EP103" s="207"/>
      <c r="EQ103" s="207"/>
      <c r="ER103" s="207"/>
      <c r="ES103" s="207"/>
      <c r="ET103" s="207"/>
      <c r="EU103" s="207"/>
      <c r="EV103" s="207"/>
      <c r="EW103" s="207"/>
      <c r="EX103" s="207"/>
      <c r="EY103" s="207"/>
      <c r="EZ103" s="207"/>
      <c r="FA103" s="207"/>
      <c r="FB103" s="207"/>
      <c r="FC103" s="207"/>
      <c r="FD103" s="207"/>
      <c r="FE103" s="207"/>
      <c r="FF103" s="207"/>
      <c r="FG103" s="207"/>
      <c r="FH103" s="207"/>
      <c r="FI103" s="207"/>
      <c r="FJ103" s="207"/>
      <c r="FK103" s="207"/>
      <c r="FL103" s="207"/>
      <c r="FM103" s="207"/>
      <c r="FN103" s="207"/>
      <c r="FO103" s="207"/>
      <c r="FP103" s="207"/>
      <c r="FQ103" s="207"/>
      <c r="FR103" s="207"/>
      <c r="FS103" s="207"/>
      <c r="FT103" s="207"/>
      <c r="FU103" s="207"/>
      <c r="FV103" s="207"/>
      <c r="FW103" s="207"/>
      <c r="FX103" s="207"/>
      <c r="FY103" s="207"/>
      <c r="FZ103" s="207"/>
      <c r="GA103" s="207"/>
      <c r="GB103" s="207"/>
      <c r="GC103" s="207"/>
      <c r="GD103" s="207"/>
      <c r="GE103" s="207"/>
      <c r="GF103" s="207"/>
      <c r="GG103" s="207"/>
      <c r="GH103" s="207"/>
      <c r="GI103" s="207"/>
      <c r="GJ103" s="207"/>
      <c r="GK103" s="207"/>
      <c r="GL103" s="207"/>
      <c r="GM103" s="207"/>
      <c r="GN103" s="207"/>
      <c r="GO103" s="207"/>
      <c r="GP103" s="207"/>
      <c r="GQ103" s="207"/>
      <c r="GR103" s="207"/>
      <c r="GS103" s="207"/>
      <c r="GT103" s="207"/>
      <c r="GU103" s="207"/>
      <c r="GV103" s="207"/>
      <c r="GW103" s="207"/>
      <c r="GX103" s="207"/>
      <c r="GY103" s="207"/>
      <c r="GZ103" s="207"/>
      <c r="HA103" s="207"/>
      <c r="HB103" s="207"/>
      <c r="HC103" s="207"/>
      <c r="HD103" s="207"/>
      <c r="HE103" s="207"/>
      <c r="HF103" s="207"/>
      <c r="HG103" s="207"/>
      <c r="HH103" s="207"/>
      <c r="HI103" s="207"/>
      <c r="HJ103" s="207"/>
      <c r="HK103" s="207"/>
      <c r="HL103" s="207"/>
      <c r="HM103" s="207"/>
      <c r="HN103" s="207"/>
      <c r="HO103" s="207"/>
      <c r="HP103" s="207"/>
      <c r="HQ103" s="207"/>
      <c r="HR103" s="207"/>
      <c r="HS103" s="207"/>
      <c r="HT103" s="207"/>
      <c r="HU103" s="207"/>
      <c r="HV103" s="207"/>
      <c r="HW103" s="207"/>
      <c r="HX103" s="207"/>
      <c r="HY103" s="207"/>
      <c r="HZ103" s="207"/>
      <c r="IA103" s="207"/>
      <c r="IB103" s="207"/>
      <c r="IC103" s="207"/>
      <c r="ID103" s="207"/>
      <c r="IE103" s="207"/>
      <c r="IF103" s="207"/>
      <c r="IG103" s="207"/>
      <c r="IH103" s="207"/>
      <c r="II103" s="207"/>
      <c r="IJ103" s="207"/>
      <c r="IK103" s="207"/>
      <c r="IL103" s="207"/>
      <c r="IM103" s="207"/>
      <c r="IN103" s="207"/>
      <c r="IO103" s="207"/>
      <c r="IP103" s="207"/>
      <c r="IQ103" s="207"/>
      <c r="IR103" s="207"/>
      <c r="IS103" s="207"/>
      <c r="IT103" s="207"/>
      <c r="IU103" s="207"/>
      <c r="IV103" s="207"/>
    </row>
    <row r="104" spans="1:256" ht="12.75">
      <c r="A104" s="211"/>
      <c r="B104" s="207"/>
      <c r="C104" s="207"/>
      <c r="D104" s="207"/>
      <c r="E104" s="207"/>
      <c r="F104" s="207"/>
      <c r="G104" s="207"/>
      <c r="H104" s="207"/>
      <c r="I104" s="207"/>
      <c r="J104" s="207"/>
      <c r="K104" s="208"/>
      <c r="L104" s="208"/>
      <c r="M104" s="209"/>
      <c r="N104" s="210"/>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c r="CX104" s="207"/>
      <c r="CY104" s="207"/>
      <c r="CZ104" s="207"/>
      <c r="DA104" s="207"/>
      <c r="DB104" s="207"/>
      <c r="DC104" s="207"/>
      <c r="DD104" s="207"/>
      <c r="DE104" s="207"/>
      <c r="DF104" s="207"/>
      <c r="DG104" s="207"/>
      <c r="DH104" s="207"/>
      <c r="DI104" s="207"/>
      <c r="DJ104" s="207"/>
      <c r="DK104" s="207"/>
      <c r="DL104" s="207"/>
      <c r="DM104" s="207"/>
      <c r="DN104" s="207"/>
      <c r="DO104" s="207"/>
      <c r="DP104" s="207"/>
      <c r="DQ104" s="207"/>
      <c r="DR104" s="207"/>
      <c r="DS104" s="207"/>
      <c r="DT104" s="207"/>
      <c r="DU104" s="207"/>
      <c r="DV104" s="207"/>
      <c r="DW104" s="207"/>
      <c r="DX104" s="207"/>
      <c r="DY104" s="207"/>
      <c r="DZ104" s="207"/>
      <c r="EA104" s="207"/>
      <c r="EB104" s="207"/>
      <c r="EC104" s="207"/>
      <c r="ED104" s="207"/>
      <c r="EE104" s="207"/>
      <c r="EF104" s="207"/>
      <c r="EG104" s="207"/>
      <c r="EH104" s="207"/>
      <c r="EI104" s="207"/>
      <c r="EJ104" s="207"/>
      <c r="EK104" s="207"/>
      <c r="EL104" s="207"/>
      <c r="EM104" s="207"/>
      <c r="EN104" s="207"/>
      <c r="EO104" s="207"/>
      <c r="EP104" s="207"/>
      <c r="EQ104" s="207"/>
      <c r="ER104" s="207"/>
      <c r="ES104" s="207"/>
      <c r="ET104" s="207"/>
      <c r="EU104" s="207"/>
      <c r="EV104" s="207"/>
      <c r="EW104" s="207"/>
      <c r="EX104" s="207"/>
      <c r="EY104" s="207"/>
      <c r="EZ104" s="207"/>
      <c r="FA104" s="207"/>
      <c r="FB104" s="207"/>
      <c r="FC104" s="207"/>
      <c r="FD104" s="207"/>
      <c r="FE104" s="207"/>
      <c r="FF104" s="207"/>
      <c r="FG104" s="207"/>
      <c r="FH104" s="207"/>
      <c r="FI104" s="207"/>
      <c r="FJ104" s="207"/>
      <c r="FK104" s="207"/>
      <c r="FL104" s="207"/>
      <c r="FM104" s="207"/>
      <c r="FN104" s="207"/>
      <c r="FO104" s="207"/>
      <c r="FP104" s="207"/>
      <c r="FQ104" s="207"/>
      <c r="FR104" s="207"/>
      <c r="FS104" s="207"/>
      <c r="FT104" s="207"/>
      <c r="FU104" s="207"/>
      <c r="FV104" s="207"/>
      <c r="FW104" s="207"/>
      <c r="FX104" s="207"/>
      <c r="FY104" s="207"/>
      <c r="FZ104" s="207"/>
      <c r="GA104" s="207"/>
      <c r="GB104" s="207"/>
      <c r="GC104" s="207"/>
      <c r="GD104" s="207"/>
      <c r="GE104" s="207"/>
      <c r="GF104" s="207"/>
      <c r="GG104" s="207"/>
      <c r="GH104" s="207"/>
      <c r="GI104" s="207"/>
      <c r="GJ104" s="207"/>
      <c r="GK104" s="207"/>
      <c r="GL104" s="207"/>
      <c r="GM104" s="207"/>
      <c r="GN104" s="207"/>
      <c r="GO104" s="207"/>
      <c r="GP104" s="207"/>
      <c r="GQ104" s="207"/>
      <c r="GR104" s="207"/>
      <c r="GS104" s="207"/>
      <c r="GT104" s="207"/>
      <c r="GU104" s="207"/>
      <c r="GV104" s="207"/>
      <c r="GW104" s="207"/>
      <c r="GX104" s="207"/>
      <c r="GY104" s="207"/>
      <c r="GZ104" s="207"/>
      <c r="HA104" s="207"/>
      <c r="HB104" s="207"/>
      <c r="HC104" s="207"/>
      <c r="HD104" s="207"/>
      <c r="HE104" s="207"/>
      <c r="HF104" s="207"/>
      <c r="HG104" s="207"/>
      <c r="HH104" s="207"/>
      <c r="HI104" s="207"/>
      <c r="HJ104" s="207"/>
      <c r="HK104" s="207"/>
      <c r="HL104" s="207"/>
      <c r="HM104" s="207"/>
      <c r="HN104" s="207"/>
      <c r="HO104" s="207"/>
      <c r="HP104" s="207"/>
      <c r="HQ104" s="207"/>
      <c r="HR104" s="207"/>
      <c r="HS104" s="207"/>
      <c r="HT104" s="207"/>
      <c r="HU104" s="207"/>
      <c r="HV104" s="207"/>
      <c r="HW104" s="207"/>
      <c r="HX104" s="207"/>
      <c r="HY104" s="207"/>
      <c r="HZ104" s="207"/>
      <c r="IA104" s="207"/>
      <c r="IB104" s="207"/>
      <c r="IC104" s="207"/>
      <c r="ID104" s="207"/>
      <c r="IE104" s="207"/>
      <c r="IF104" s="207"/>
      <c r="IG104" s="207"/>
      <c r="IH104" s="207"/>
      <c r="II104" s="207"/>
      <c r="IJ104" s="207"/>
      <c r="IK104" s="207"/>
      <c r="IL104" s="207"/>
      <c r="IM104" s="207"/>
      <c r="IN104" s="207"/>
      <c r="IO104" s="207"/>
      <c r="IP104" s="207"/>
      <c r="IQ104" s="207"/>
      <c r="IR104" s="207"/>
      <c r="IS104" s="207"/>
      <c r="IT104" s="207"/>
      <c r="IU104" s="207"/>
      <c r="IV104" s="207"/>
    </row>
    <row r="105" spans="1:256" ht="12.75">
      <c r="A105" s="211"/>
      <c r="B105" s="207"/>
      <c r="C105" s="207"/>
      <c r="D105" s="207"/>
      <c r="E105" s="207"/>
      <c r="F105" s="207"/>
      <c r="G105" s="207"/>
      <c r="H105" s="207"/>
      <c r="I105" s="207"/>
      <c r="J105" s="207"/>
      <c r="K105" s="208"/>
      <c r="L105" s="208"/>
      <c r="M105" s="209"/>
      <c r="N105" s="210"/>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7"/>
      <c r="EU105" s="207"/>
      <c r="EV105" s="207"/>
      <c r="EW105" s="207"/>
      <c r="EX105" s="207"/>
      <c r="EY105" s="207"/>
      <c r="EZ105" s="207"/>
      <c r="FA105" s="207"/>
      <c r="FB105" s="207"/>
      <c r="FC105" s="207"/>
      <c r="FD105" s="207"/>
      <c r="FE105" s="207"/>
      <c r="FF105" s="207"/>
      <c r="FG105" s="207"/>
      <c r="FH105" s="207"/>
      <c r="FI105" s="207"/>
      <c r="FJ105" s="207"/>
      <c r="FK105" s="207"/>
      <c r="FL105" s="207"/>
      <c r="FM105" s="207"/>
      <c r="FN105" s="207"/>
      <c r="FO105" s="207"/>
      <c r="FP105" s="207"/>
      <c r="FQ105" s="207"/>
      <c r="FR105" s="207"/>
      <c r="FS105" s="207"/>
      <c r="FT105" s="207"/>
      <c r="FU105" s="207"/>
      <c r="FV105" s="207"/>
      <c r="FW105" s="207"/>
      <c r="FX105" s="207"/>
      <c r="FY105" s="207"/>
      <c r="FZ105" s="207"/>
      <c r="GA105" s="207"/>
      <c r="GB105" s="207"/>
      <c r="GC105" s="207"/>
      <c r="GD105" s="207"/>
      <c r="GE105" s="207"/>
      <c r="GF105" s="207"/>
      <c r="GG105" s="207"/>
      <c r="GH105" s="207"/>
      <c r="GI105" s="207"/>
      <c r="GJ105" s="207"/>
      <c r="GK105" s="207"/>
      <c r="GL105" s="207"/>
      <c r="GM105" s="207"/>
      <c r="GN105" s="207"/>
      <c r="GO105" s="207"/>
      <c r="GP105" s="207"/>
      <c r="GQ105" s="207"/>
      <c r="GR105" s="207"/>
      <c r="GS105" s="207"/>
      <c r="GT105" s="207"/>
      <c r="GU105" s="207"/>
      <c r="GV105" s="207"/>
      <c r="GW105" s="207"/>
      <c r="GX105" s="207"/>
      <c r="GY105" s="207"/>
      <c r="GZ105" s="207"/>
      <c r="HA105" s="207"/>
      <c r="HB105" s="207"/>
      <c r="HC105" s="207"/>
      <c r="HD105" s="207"/>
      <c r="HE105" s="207"/>
      <c r="HF105" s="207"/>
      <c r="HG105" s="207"/>
      <c r="HH105" s="207"/>
      <c r="HI105" s="207"/>
      <c r="HJ105" s="207"/>
      <c r="HK105" s="207"/>
      <c r="HL105" s="207"/>
      <c r="HM105" s="207"/>
      <c r="HN105" s="207"/>
      <c r="HO105" s="207"/>
      <c r="HP105" s="207"/>
      <c r="HQ105" s="207"/>
      <c r="HR105" s="207"/>
      <c r="HS105" s="207"/>
      <c r="HT105" s="207"/>
      <c r="HU105" s="207"/>
      <c r="HV105" s="207"/>
      <c r="HW105" s="207"/>
      <c r="HX105" s="207"/>
      <c r="HY105" s="207"/>
      <c r="HZ105" s="207"/>
      <c r="IA105" s="207"/>
      <c r="IB105" s="207"/>
      <c r="IC105" s="207"/>
      <c r="ID105" s="207"/>
      <c r="IE105" s="207"/>
      <c r="IF105" s="207"/>
      <c r="IG105" s="207"/>
      <c r="IH105" s="207"/>
      <c r="II105" s="207"/>
      <c r="IJ105" s="207"/>
      <c r="IK105" s="207"/>
      <c r="IL105" s="207"/>
      <c r="IM105" s="207"/>
      <c r="IN105" s="207"/>
      <c r="IO105" s="207"/>
      <c r="IP105" s="207"/>
      <c r="IQ105" s="207"/>
      <c r="IR105" s="207"/>
      <c r="IS105" s="207"/>
      <c r="IT105" s="207"/>
      <c r="IU105" s="207"/>
      <c r="IV105" s="207"/>
    </row>
    <row r="106" spans="1:256" ht="12.75">
      <c r="A106" s="212"/>
      <c r="B106" s="207"/>
      <c r="C106" s="207"/>
      <c r="D106" s="207"/>
      <c r="E106" s="207"/>
      <c r="F106" s="207"/>
      <c r="G106" s="207"/>
      <c r="H106" s="207"/>
      <c r="I106" s="207"/>
      <c r="J106" s="207"/>
      <c r="K106" s="208"/>
      <c r="L106" s="208"/>
      <c r="M106" s="209"/>
      <c r="N106" s="210"/>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c r="EO106" s="207"/>
      <c r="EP106" s="207"/>
      <c r="EQ106" s="207"/>
      <c r="ER106" s="207"/>
      <c r="ES106" s="207"/>
      <c r="ET106" s="207"/>
      <c r="EU106" s="207"/>
      <c r="EV106" s="207"/>
      <c r="EW106" s="207"/>
      <c r="EX106" s="207"/>
      <c r="EY106" s="207"/>
      <c r="EZ106" s="207"/>
      <c r="FA106" s="207"/>
      <c r="FB106" s="207"/>
      <c r="FC106" s="207"/>
      <c r="FD106" s="207"/>
      <c r="FE106" s="207"/>
      <c r="FF106" s="207"/>
      <c r="FG106" s="207"/>
      <c r="FH106" s="207"/>
      <c r="FI106" s="207"/>
      <c r="FJ106" s="207"/>
      <c r="FK106" s="207"/>
      <c r="FL106" s="207"/>
      <c r="FM106" s="207"/>
      <c r="FN106" s="207"/>
      <c r="FO106" s="207"/>
      <c r="FP106" s="207"/>
      <c r="FQ106" s="207"/>
      <c r="FR106" s="207"/>
      <c r="FS106" s="207"/>
      <c r="FT106" s="207"/>
      <c r="FU106" s="207"/>
      <c r="FV106" s="207"/>
      <c r="FW106" s="207"/>
      <c r="FX106" s="207"/>
      <c r="FY106" s="207"/>
      <c r="FZ106" s="207"/>
      <c r="GA106" s="207"/>
      <c r="GB106" s="207"/>
      <c r="GC106" s="207"/>
      <c r="GD106" s="207"/>
      <c r="GE106" s="207"/>
      <c r="GF106" s="207"/>
      <c r="GG106" s="207"/>
      <c r="GH106" s="207"/>
      <c r="GI106" s="207"/>
      <c r="GJ106" s="207"/>
      <c r="GK106" s="207"/>
      <c r="GL106" s="207"/>
      <c r="GM106" s="207"/>
      <c r="GN106" s="207"/>
      <c r="GO106" s="207"/>
      <c r="GP106" s="207"/>
      <c r="GQ106" s="207"/>
      <c r="GR106" s="207"/>
      <c r="GS106" s="207"/>
      <c r="GT106" s="207"/>
      <c r="GU106" s="207"/>
      <c r="GV106" s="207"/>
      <c r="GW106" s="207"/>
      <c r="GX106" s="207"/>
      <c r="GY106" s="207"/>
      <c r="GZ106" s="207"/>
      <c r="HA106" s="207"/>
      <c r="HB106" s="207"/>
      <c r="HC106" s="207"/>
      <c r="HD106" s="207"/>
      <c r="HE106" s="207"/>
      <c r="HF106" s="207"/>
      <c r="HG106" s="207"/>
      <c r="HH106" s="207"/>
      <c r="HI106" s="207"/>
      <c r="HJ106" s="207"/>
      <c r="HK106" s="207"/>
      <c r="HL106" s="207"/>
      <c r="HM106" s="207"/>
      <c r="HN106" s="207"/>
      <c r="HO106" s="207"/>
      <c r="HP106" s="207"/>
      <c r="HQ106" s="207"/>
      <c r="HR106" s="207"/>
      <c r="HS106" s="207"/>
      <c r="HT106" s="207"/>
      <c r="HU106" s="207"/>
      <c r="HV106" s="207"/>
      <c r="HW106" s="207"/>
      <c r="HX106" s="207"/>
      <c r="HY106" s="207"/>
      <c r="HZ106" s="207"/>
      <c r="IA106" s="207"/>
      <c r="IB106" s="207"/>
      <c r="IC106" s="207"/>
      <c r="ID106" s="207"/>
      <c r="IE106" s="207"/>
      <c r="IF106" s="207"/>
      <c r="IG106" s="207"/>
      <c r="IH106" s="207"/>
      <c r="II106" s="207"/>
      <c r="IJ106" s="207"/>
      <c r="IK106" s="207"/>
      <c r="IL106" s="207"/>
      <c r="IM106" s="207"/>
      <c r="IN106" s="207"/>
      <c r="IO106" s="207"/>
      <c r="IP106" s="207"/>
      <c r="IQ106" s="207"/>
      <c r="IR106" s="207"/>
      <c r="IS106" s="207"/>
      <c r="IT106" s="207"/>
      <c r="IU106" s="207"/>
      <c r="IV106" s="207"/>
    </row>
  </sheetData>
  <mergeCells count="8">
    <mergeCell ref="A1:D1"/>
    <mergeCell ref="A6:D6"/>
    <mergeCell ref="A8:D8"/>
    <mergeCell ref="J10:J11"/>
    <mergeCell ref="K10:K11"/>
    <mergeCell ref="A35:D35"/>
    <mergeCell ref="A44:D44"/>
    <mergeCell ref="A65:D65"/>
  </mergeCells>
  <printOptions/>
  <pageMargins left="0.75" right="0.75" top="1" bottom="1" header="0.5" footer="0.5"/>
  <pageSetup fitToHeight="2" orientation="portrait" scale="50" r:id="rId2"/>
  <drawing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B2:E66"/>
  <sheetViews>
    <sheetView workbookViewId="0" topLeftCell="A1">
      <selection activeCell="B8" sqref="B8"/>
    </sheetView>
  </sheetViews>
  <sheetFormatPr defaultColWidth="9.00390625" defaultRowHeight="12.75"/>
  <cols>
    <col min="1" max="1" width="1.875" style="0" customWidth="1"/>
    <col min="2" max="2" width="5.25390625" style="0" customWidth="1"/>
    <col min="3" max="3" width="19.875" style="0" customWidth="1"/>
    <col min="4" max="4" width="12.25390625" style="86" customWidth="1"/>
    <col min="5" max="5" width="35.875" style="86" customWidth="1"/>
    <col min="6" max="16384" width="11.00390625" style="0" customWidth="1"/>
  </cols>
  <sheetData>
    <row r="1" ht="6.75" customHeight="1"/>
    <row r="2" spans="2:5" ht="18">
      <c r="B2" s="216"/>
      <c r="C2" s="218"/>
      <c r="D2" s="219"/>
      <c r="E2" s="220"/>
    </row>
    <row r="3" spans="2:5" ht="18">
      <c r="B3" s="221"/>
      <c r="C3" s="217" t="s">
        <v>12</v>
      </c>
      <c r="D3" s="17"/>
      <c r="E3" s="222"/>
    </row>
    <row r="4" spans="2:5" ht="18">
      <c r="B4" s="221"/>
      <c r="C4" s="217"/>
      <c r="D4" s="17"/>
      <c r="E4" s="222"/>
    </row>
    <row r="5" spans="2:5" ht="12.75">
      <c r="B5" s="221"/>
      <c r="C5" s="223" t="s">
        <v>415</v>
      </c>
      <c r="D5" s="224" t="s">
        <v>416</v>
      </c>
      <c r="E5" s="225" t="s">
        <v>417</v>
      </c>
    </row>
    <row r="6" spans="2:5" ht="12.75">
      <c r="B6" s="221"/>
      <c r="D6" s="17"/>
      <c r="E6" s="222"/>
    </row>
    <row r="7" spans="2:5" ht="12.75">
      <c r="B7" s="221"/>
      <c r="C7" s="102">
        <v>18</v>
      </c>
      <c r="D7" s="226" t="s">
        <v>418</v>
      </c>
      <c r="E7" s="222" t="s">
        <v>419</v>
      </c>
    </row>
    <row r="8" spans="2:5" ht="12.75">
      <c r="B8" s="227" t="s">
        <v>244</v>
      </c>
      <c r="C8" s="228">
        <f>10^9</f>
        <v>1000000000</v>
      </c>
      <c r="D8" s="17" t="s">
        <v>420</v>
      </c>
      <c r="E8" s="222" t="s">
        <v>266</v>
      </c>
    </row>
    <row r="9" spans="2:5" ht="12.75">
      <c r="B9" s="227" t="s">
        <v>264</v>
      </c>
      <c r="C9" s="228">
        <v>3600</v>
      </c>
      <c r="D9" s="17" t="s">
        <v>421</v>
      </c>
      <c r="E9" s="222" t="s">
        <v>266</v>
      </c>
    </row>
    <row r="10" spans="2:5" ht="12.75">
      <c r="B10" s="227" t="s">
        <v>247</v>
      </c>
      <c r="C10" s="228">
        <f>+C7*C8/C9</f>
        <v>5000000</v>
      </c>
      <c r="D10" s="17" t="s">
        <v>422</v>
      </c>
      <c r="E10" s="222"/>
    </row>
    <row r="11" spans="2:5" ht="12.75">
      <c r="B11" s="227" t="s">
        <v>264</v>
      </c>
      <c r="C11" s="228">
        <v>1000</v>
      </c>
      <c r="D11" s="17" t="s">
        <v>423</v>
      </c>
      <c r="E11" s="222" t="s">
        <v>266</v>
      </c>
    </row>
    <row r="12" spans="2:5" ht="12.75">
      <c r="B12" s="227" t="s">
        <v>244</v>
      </c>
      <c r="C12" s="229">
        <v>10</v>
      </c>
      <c r="D12" s="230" t="s">
        <v>424</v>
      </c>
      <c r="E12" s="222" t="s">
        <v>425</v>
      </c>
    </row>
    <row r="13" spans="2:5" ht="12.75">
      <c r="B13" s="227" t="s">
        <v>247</v>
      </c>
      <c r="C13" s="231">
        <f>+C12*C10/C11</f>
        <v>50000</v>
      </c>
      <c r="D13" s="17" t="s">
        <v>426</v>
      </c>
      <c r="E13" s="222" t="s">
        <v>427</v>
      </c>
    </row>
    <row r="14" spans="2:5" ht="12.75">
      <c r="B14" s="227" t="s">
        <v>244</v>
      </c>
      <c r="C14" s="228">
        <v>3413</v>
      </c>
      <c r="D14" s="17" t="s">
        <v>428</v>
      </c>
      <c r="E14" s="222"/>
    </row>
    <row r="15" spans="2:5" ht="12.75">
      <c r="B15" s="227" t="s">
        <v>264</v>
      </c>
      <c r="C15" s="232">
        <v>5800000</v>
      </c>
      <c r="D15" s="17" t="s">
        <v>429</v>
      </c>
      <c r="E15" s="222"/>
    </row>
    <row r="16" spans="2:5" ht="12.75">
      <c r="B16" s="227" t="s">
        <v>247</v>
      </c>
      <c r="C16" s="231">
        <f>+C13*C14/C15</f>
        <v>29.42241379310345</v>
      </c>
      <c r="D16" s="103" t="s">
        <v>430</v>
      </c>
      <c r="E16" s="233"/>
    </row>
    <row r="17" spans="2:5" ht="12.75">
      <c r="B17" s="221"/>
      <c r="C17" s="228"/>
      <c r="D17" s="17"/>
      <c r="E17" s="222"/>
    </row>
    <row r="18" spans="2:5" ht="12.75">
      <c r="B18" s="221"/>
      <c r="C18" s="234" t="s">
        <v>431</v>
      </c>
      <c r="D18" s="17"/>
      <c r="E18" s="222"/>
    </row>
    <row r="19" spans="2:5" ht="12.75">
      <c r="B19" s="221"/>
      <c r="D19" s="17"/>
      <c r="E19" s="222"/>
    </row>
    <row r="20" spans="2:5" ht="12.75">
      <c r="B20" s="227" t="s">
        <v>241</v>
      </c>
      <c r="C20" s="235">
        <v>4</v>
      </c>
      <c r="D20" s="17" t="s">
        <v>432</v>
      </c>
      <c r="E20" s="222" t="s">
        <v>433</v>
      </c>
    </row>
    <row r="21" spans="2:5" ht="12.75">
      <c r="B21" s="227" t="s">
        <v>244</v>
      </c>
      <c r="C21" s="228">
        <v>10000</v>
      </c>
      <c r="D21" s="17" t="s">
        <v>434</v>
      </c>
      <c r="E21" s="222" t="s">
        <v>266</v>
      </c>
    </row>
    <row r="22" spans="2:5" ht="12.75">
      <c r="B22" s="227" t="s">
        <v>244</v>
      </c>
      <c r="C22" s="232">
        <v>365</v>
      </c>
      <c r="D22" s="17" t="s">
        <v>435</v>
      </c>
      <c r="E22" s="222" t="s">
        <v>266</v>
      </c>
    </row>
    <row r="23" spans="2:5" ht="12.75">
      <c r="B23" s="227" t="s">
        <v>247</v>
      </c>
      <c r="C23" s="228">
        <f>+C22*C21*C20</f>
        <v>14600000</v>
      </c>
      <c r="D23" s="17" t="s">
        <v>426</v>
      </c>
      <c r="E23" s="222" t="s">
        <v>436</v>
      </c>
    </row>
    <row r="24" spans="2:5" ht="12.75">
      <c r="B24" s="227" t="s">
        <v>244</v>
      </c>
      <c r="C24" s="236">
        <v>0.0033</v>
      </c>
      <c r="D24" s="17"/>
      <c r="E24" s="222" t="s">
        <v>437</v>
      </c>
    </row>
    <row r="25" spans="2:5" ht="12.75">
      <c r="B25" s="227" t="s">
        <v>247</v>
      </c>
      <c r="C25" s="231">
        <f>+C24*C23</f>
        <v>48180</v>
      </c>
      <c r="D25" s="17" t="s">
        <v>426</v>
      </c>
      <c r="E25" s="222" t="s">
        <v>438</v>
      </c>
    </row>
    <row r="26" spans="2:5" ht="12.75">
      <c r="B26" s="227"/>
      <c r="D26" s="17"/>
      <c r="E26" s="222"/>
    </row>
    <row r="27" spans="2:5" ht="12.75">
      <c r="B27" s="227"/>
      <c r="C27" s="106">
        <f>+C13/C25-1</f>
        <v>0.03777501037775011</v>
      </c>
      <c r="D27" s="17"/>
      <c r="E27" s="222" t="s">
        <v>439</v>
      </c>
    </row>
    <row r="28" spans="2:5" ht="12.75">
      <c r="B28" s="227"/>
      <c r="D28" s="17"/>
      <c r="E28" s="222"/>
    </row>
    <row r="29" spans="2:5" ht="12.75">
      <c r="B29" s="227"/>
      <c r="C29" s="237" t="s">
        <v>440</v>
      </c>
      <c r="D29" s="17"/>
      <c r="E29" s="222"/>
    </row>
    <row r="30" spans="2:5" ht="12.75">
      <c r="B30" s="227"/>
      <c r="D30" s="17"/>
      <c r="E30" s="222"/>
    </row>
    <row r="31" spans="2:5" ht="12.75">
      <c r="B31" s="227"/>
      <c r="D31" s="17"/>
      <c r="E31" s="222"/>
    </row>
    <row r="32" spans="2:5" ht="12.75">
      <c r="B32" s="227"/>
      <c r="C32" s="238">
        <f>+C10</f>
        <v>5000000</v>
      </c>
      <c r="D32" s="239" t="str">
        <f>+D10</f>
        <v>wh/tonne</v>
      </c>
      <c r="E32" s="222" t="s">
        <v>441</v>
      </c>
    </row>
    <row r="33" spans="2:5" ht="12.75">
      <c r="B33" s="227" t="s">
        <v>264</v>
      </c>
      <c r="C33" s="240">
        <v>3.413</v>
      </c>
      <c r="D33" s="17" t="s">
        <v>442</v>
      </c>
      <c r="E33" s="222" t="s">
        <v>266</v>
      </c>
    </row>
    <row r="34" spans="2:5" ht="12.75">
      <c r="B34" s="227" t="s">
        <v>247</v>
      </c>
      <c r="C34" s="228">
        <f>+C32*C33</f>
        <v>17065000</v>
      </c>
      <c r="D34" s="17" t="s">
        <v>293</v>
      </c>
      <c r="E34" s="222"/>
    </row>
    <row r="35" spans="2:5" ht="12.75">
      <c r="B35" s="227"/>
      <c r="C35" s="228">
        <v>1000</v>
      </c>
      <c r="D35" s="17" t="s">
        <v>294</v>
      </c>
      <c r="E35" s="222" t="s">
        <v>266</v>
      </c>
    </row>
    <row r="36" spans="2:5" ht="12.75">
      <c r="B36" s="227"/>
      <c r="C36" s="228">
        <f>+C34/C35</f>
        <v>17065</v>
      </c>
      <c r="D36" s="17" t="s">
        <v>443</v>
      </c>
      <c r="E36" s="222"/>
    </row>
    <row r="37" spans="2:5" ht="12.75">
      <c r="B37" s="227"/>
      <c r="C37" s="241">
        <v>2.2</v>
      </c>
      <c r="D37" s="17" t="s">
        <v>444</v>
      </c>
      <c r="E37" s="222" t="s">
        <v>266</v>
      </c>
    </row>
    <row r="38" spans="2:5" ht="12.75">
      <c r="B38" s="227"/>
      <c r="C38" s="242">
        <f>+C36/C37</f>
        <v>7756.818181818181</v>
      </c>
      <c r="D38" s="17" t="s">
        <v>296</v>
      </c>
      <c r="E38" s="222"/>
    </row>
    <row r="39" spans="2:5" ht="12.75">
      <c r="B39" s="227"/>
      <c r="C39" s="228"/>
      <c r="D39" s="17"/>
      <c r="E39" s="222"/>
    </row>
    <row r="40" spans="2:5" ht="12.75">
      <c r="B40" s="227" t="s">
        <v>241</v>
      </c>
      <c r="C40" s="243">
        <v>8000</v>
      </c>
      <c r="D40" s="17" t="s">
        <v>296</v>
      </c>
      <c r="E40" s="222" t="s">
        <v>445</v>
      </c>
    </row>
    <row r="41" spans="2:5" ht="12.75">
      <c r="B41" s="227"/>
      <c r="D41" s="17"/>
      <c r="E41" s="222"/>
    </row>
    <row r="42" spans="2:5" ht="12.75">
      <c r="B42" s="227"/>
      <c r="C42" s="106">
        <f>+C38/C40-1</f>
        <v>-0.03039772727272738</v>
      </c>
      <c r="D42" s="17"/>
      <c r="E42" s="222" t="s">
        <v>439</v>
      </c>
    </row>
    <row r="43" spans="2:5" ht="12.75">
      <c r="B43" s="227"/>
      <c r="D43" s="17"/>
      <c r="E43" s="222"/>
    </row>
    <row r="44" spans="2:5" ht="12.75">
      <c r="B44" s="227"/>
      <c r="C44" s="244" t="s">
        <v>446</v>
      </c>
      <c r="D44" s="245"/>
      <c r="E44" s="222"/>
    </row>
    <row r="45" spans="2:5" ht="12.75">
      <c r="B45" s="227"/>
      <c r="C45" s="244"/>
      <c r="D45" s="17"/>
      <c r="E45" s="222"/>
    </row>
    <row r="46" spans="2:5" ht="12.75">
      <c r="B46" s="227"/>
      <c r="C46" s="246" t="s">
        <v>447</v>
      </c>
      <c r="D46" s="17"/>
      <c r="E46" s="222"/>
    </row>
    <row r="47" spans="2:5" ht="12.75">
      <c r="B47" s="227"/>
      <c r="D47" s="17"/>
      <c r="E47" s="222"/>
    </row>
    <row r="48" spans="2:5" ht="12.75">
      <c r="B48" s="247" t="s">
        <v>241</v>
      </c>
      <c r="C48" s="228">
        <f>150*10^6</f>
        <v>150000000</v>
      </c>
      <c r="D48" s="17" t="s">
        <v>151</v>
      </c>
      <c r="E48" s="222" t="s">
        <v>448</v>
      </c>
    </row>
    <row r="49" spans="2:5" ht="12.75">
      <c r="B49" s="247" t="s">
        <v>244</v>
      </c>
      <c r="C49" s="231">
        <f>+C13</f>
        <v>50000</v>
      </c>
      <c r="D49" s="228" t="str">
        <f>+D13</f>
        <v>kwh/ha/yr</v>
      </c>
      <c r="E49" s="248" t="str">
        <f>+E13</f>
        <v>net energy captured by switchgrass</v>
      </c>
    </row>
    <row r="50" spans="2:5" ht="12.75">
      <c r="B50" s="247" t="s">
        <v>264</v>
      </c>
      <c r="C50" s="232">
        <f>+PavedArea!J45</f>
        <v>1000000000</v>
      </c>
      <c r="D50" s="17" t="str">
        <f>+PavedArea!K45</f>
        <v>twh/kwh</v>
      </c>
      <c r="E50" s="222"/>
    </row>
    <row r="51" spans="2:5" ht="12.75">
      <c r="B51" s="247" t="s">
        <v>247</v>
      </c>
      <c r="C51" s="228">
        <f>+C48*C49/C50</f>
        <v>7500</v>
      </c>
      <c r="D51" s="17" t="s">
        <v>364</v>
      </c>
      <c r="E51" s="222"/>
    </row>
    <row r="52" spans="2:5" ht="12.75">
      <c r="B52" s="247" t="s">
        <v>264</v>
      </c>
      <c r="C52" s="232">
        <v>8760</v>
      </c>
      <c r="D52" s="17" t="s">
        <v>262</v>
      </c>
      <c r="E52" s="222"/>
    </row>
    <row r="53" spans="2:5" ht="12.75">
      <c r="B53" s="247" t="s">
        <v>247</v>
      </c>
      <c r="C53" s="17">
        <f>+C51/C52</f>
        <v>0.8561643835616438</v>
      </c>
      <c r="D53" s="103" t="s">
        <v>449</v>
      </c>
      <c r="E53" s="233"/>
    </row>
    <row r="54" spans="2:5" ht="12.75">
      <c r="B54" s="247"/>
      <c r="C54" s="103"/>
      <c r="D54" s="103"/>
      <c r="E54" s="222"/>
    </row>
    <row r="55" spans="2:5" ht="12.75">
      <c r="B55" s="247"/>
      <c r="C55" s="246" t="s">
        <v>450</v>
      </c>
      <c r="D55" s="249"/>
      <c r="E55" s="222"/>
    </row>
    <row r="56" spans="2:5" ht="12.75">
      <c r="B56" s="247"/>
      <c r="D56" s="17"/>
      <c r="E56" s="222"/>
    </row>
    <row r="57" spans="2:5" ht="12.75">
      <c r="B57" s="247" t="s">
        <v>241</v>
      </c>
      <c r="C57" s="242">
        <f>+C48</f>
        <v>150000000</v>
      </c>
      <c r="D57" s="228" t="str">
        <f>+D48</f>
        <v>hectares</v>
      </c>
      <c r="E57" s="222"/>
    </row>
    <row r="58" spans="2:5" ht="12.75">
      <c r="B58" s="247" t="s">
        <v>244</v>
      </c>
      <c r="C58" s="250">
        <f>+C16</f>
        <v>29.42241379310345</v>
      </c>
      <c r="D58" s="251" t="str">
        <f>+D16</f>
        <v>barrels equivalent/ha</v>
      </c>
      <c r="E58" s="252"/>
    </row>
    <row r="59" spans="2:5" ht="12.75">
      <c r="B59" s="247" t="s">
        <v>264</v>
      </c>
      <c r="C59" s="232">
        <f>10^9</f>
        <v>1000000000</v>
      </c>
      <c r="D59" s="103" t="s">
        <v>451</v>
      </c>
      <c r="E59" s="233"/>
    </row>
    <row r="60" spans="2:5" ht="12.75">
      <c r="B60" s="247" t="s">
        <v>247</v>
      </c>
      <c r="C60" s="253">
        <f>+C57*C58/C59</f>
        <v>4.413362068965517</v>
      </c>
      <c r="D60" s="103" t="s">
        <v>452</v>
      </c>
      <c r="E60" s="233"/>
    </row>
    <row r="61" spans="2:5" ht="12.75">
      <c r="B61" s="247"/>
      <c r="C61" s="253"/>
      <c r="D61" s="17"/>
      <c r="E61" s="222"/>
    </row>
    <row r="62" spans="2:5" ht="12.75">
      <c r="B62" s="254"/>
      <c r="C62" s="255"/>
      <c r="D62" s="219"/>
      <c r="E62" s="220"/>
    </row>
    <row r="63" spans="2:5" ht="57" customHeight="1">
      <c r="B63" s="256">
        <v>1</v>
      </c>
      <c r="C63" s="284" t="s">
        <v>453</v>
      </c>
      <c r="D63" s="284"/>
      <c r="E63" s="285"/>
    </row>
    <row r="64" spans="2:5" ht="12.75">
      <c r="B64" s="227"/>
      <c r="D64" s="17"/>
      <c r="E64" s="222"/>
    </row>
    <row r="65" spans="2:5" ht="12.75">
      <c r="B65" s="227">
        <v>2</v>
      </c>
      <c r="C65" s="257" t="s">
        <v>454</v>
      </c>
      <c r="D65" s="17" t="s">
        <v>165</v>
      </c>
      <c r="E65" s="222"/>
    </row>
    <row r="66" spans="2:5" ht="12.75">
      <c r="B66" s="258"/>
      <c r="C66" s="96"/>
      <c r="D66" s="224"/>
      <c r="E66" s="225"/>
    </row>
  </sheetData>
  <mergeCells count="1">
    <mergeCell ref="C63:E63"/>
  </mergeCells>
  <printOptions/>
  <pageMargins left="0.75" right="0.75" top="1" bottom="1" header="0.5" footer="0.5"/>
  <pageSetup fitToHeight="1" fitToWidth="1" orientation="portrait" scale="70" r:id="rId1"/>
</worksheet>
</file>

<file path=xl/worksheets/sheet7.xml><?xml version="1.0" encoding="utf-8"?>
<worksheet xmlns="http://schemas.openxmlformats.org/spreadsheetml/2006/main" xmlns:r="http://schemas.openxmlformats.org/officeDocument/2006/relationships">
  <sheetPr>
    <tabColor indexed="26"/>
  </sheetPr>
  <dimension ref="B1:D132"/>
  <sheetViews>
    <sheetView workbookViewId="0" topLeftCell="A40">
      <selection activeCell="B36" sqref="B36"/>
    </sheetView>
  </sheetViews>
  <sheetFormatPr defaultColWidth="9.00390625" defaultRowHeight="12.75"/>
  <cols>
    <col min="1" max="1" width="11.00390625" style="0" customWidth="1"/>
    <col min="2" max="2" width="23.125" style="0" customWidth="1"/>
    <col min="3" max="3" width="16.125" style="0" customWidth="1"/>
    <col min="4" max="4" width="18.375" style="0" customWidth="1"/>
    <col min="5" max="16384" width="11.00390625" style="0" customWidth="1"/>
  </cols>
  <sheetData>
    <row r="1" ht="12.75">
      <c r="B1" t="s">
        <v>455</v>
      </c>
    </row>
    <row r="3" spans="2:4" ht="12.75">
      <c r="B3" t="s">
        <v>456</v>
      </c>
      <c r="C3" s="259">
        <v>0.000948</v>
      </c>
      <c r="D3" t="s">
        <v>457</v>
      </c>
    </row>
    <row r="4" spans="2:4" ht="12.75">
      <c r="B4" t="s">
        <v>458</v>
      </c>
      <c r="C4">
        <v>10000000</v>
      </c>
      <c r="D4" t="s">
        <v>459</v>
      </c>
    </row>
    <row r="5" spans="2:4" ht="12.75">
      <c r="B5" t="s">
        <v>458</v>
      </c>
      <c r="C5">
        <v>0.7376</v>
      </c>
      <c r="D5" t="s">
        <v>460</v>
      </c>
    </row>
    <row r="6" spans="2:4" ht="12.75">
      <c r="B6" t="s">
        <v>458</v>
      </c>
      <c r="C6">
        <v>0.0002389</v>
      </c>
      <c r="D6" t="s">
        <v>461</v>
      </c>
    </row>
    <row r="7" spans="2:4" ht="12.75">
      <c r="B7" t="s">
        <v>458</v>
      </c>
      <c r="C7">
        <v>0.102</v>
      </c>
      <c r="D7" t="s">
        <v>462</v>
      </c>
    </row>
    <row r="8" spans="2:4" ht="12.75">
      <c r="B8" t="s">
        <v>458</v>
      </c>
      <c r="C8">
        <v>0.0002778</v>
      </c>
      <c r="D8" t="s">
        <v>463</v>
      </c>
    </row>
    <row r="12" spans="2:4" ht="12.75">
      <c r="B12" t="s">
        <v>464</v>
      </c>
      <c r="C12">
        <v>42.44</v>
      </c>
      <c r="D12" t="s">
        <v>465</v>
      </c>
    </row>
    <row r="13" spans="2:4" ht="12.75">
      <c r="B13" t="s">
        <v>466</v>
      </c>
      <c r="C13">
        <v>33000</v>
      </c>
      <c r="D13" t="s">
        <v>467</v>
      </c>
    </row>
    <row r="14" spans="2:4" ht="12.75">
      <c r="B14" t="s">
        <v>466</v>
      </c>
      <c r="C14">
        <v>550</v>
      </c>
      <c r="D14" t="s">
        <v>468</v>
      </c>
    </row>
    <row r="15" spans="2:4" ht="12.75">
      <c r="B15" t="s">
        <v>469</v>
      </c>
      <c r="C15">
        <v>0.9863</v>
      </c>
      <c r="D15" t="s">
        <v>470</v>
      </c>
    </row>
    <row r="16" spans="2:4" ht="12.75">
      <c r="B16" t="s">
        <v>466</v>
      </c>
      <c r="C16">
        <v>10.68</v>
      </c>
      <c r="D16" t="s">
        <v>471</v>
      </c>
    </row>
    <row r="17" spans="2:4" ht="12.75">
      <c r="B17" t="s">
        <v>466</v>
      </c>
      <c r="C17">
        <v>0.7457</v>
      </c>
      <c r="D17" t="s">
        <v>472</v>
      </c>
    </row>
    <row r="18" spans="2:4" ht="12.75">
      <c r="B18" t="s">
        <v>473</v>
      </c>
      <c r="C18">
        <v>33479</v>
      </c>
      <c r="D18" t="s">
        <v>474</v>
      </c>
    </row>
    <row r="19" spans="2:4" ht="12.75">
      <c r="B19" t="s">
        <v>473</v>
      </c>
      <c r="C19">
        <v>9809.5</v>
      </c>
      <c r="D19" t="s">
        <v>475</v>
      </c>
    </row>
    <row r="20" spans="2:4" ht="12.75">
      <c r="B20" t="s">
        <v>469</v>
      </c>
      <c r="C20">
        <v>735.4988</v>
      </c>
      <c r="D20" t="s">
        <v>475</v>
      </c>
    </row>
    <row r="21" spans="2:4" ht="12.75">
      <c r="B21" t="s">
        <v>476</v>
      </c>
      <c r="C21">
        <v>746</v>
      </c>
      <c r="D21" t="s">
        <v>475</v>
      </c>
    </row>
    <row r="22" spans="2:4" ht="12.75">
      <c r="B22" t="s">
        <v>466</v>
      </c>
      <c r="C22" t="s">
        <v>477</v>
      </c>
      <c r="D22" t="s">
        <v>478</v>
      </c>
    </row>
    <row r="23" spans="2:4" ht="12.75">
      <c r="B23" t="s">
        <v>479</v>
      </c>
      <c r="C23">
        <v>745.7</v>
      </c>
      <c r="D23" t="s">
        <v>475</v>
      </c>
    </row>
    <row r="24" spans="2:4" ht="12.75">
      <c r="B24" t="s">
        <v>480</v>
      </c>
      <c r="C24">
        <v>746.043</v>
      </c>
      <c r="D24" t="s">
        <v>475</v>
      </c>
    </row>
    <row r="25" spans="2:4" ht="12.75">
      <c r="B25" t="s">
        <v>481</v>
      </c>
      <c r="C25">
        <v>2547</v>
      </c>
      <c r="D25" t="s">
        <v>457</v>
      </c>
    </row>
    <row r="26" spans="2:4" ht="12.75">
      <c r="B26" t="s">
        <v>481</v>
      </c>
      <c r="C26" s="259">
        <v>26800000000000</v>
      </c>
      <c r="D26" t="s">
        <v>459</v>
      </c>
    </row>
    <row r="27" spans="2:4" ht="12.75">
      <c r="B27" t="s">
        <v>481</v>
      </c>
      <c r="C27">
        <v>1980000</v>
      </c>
      <c r="D27" t="s">
        <v>482</v>
      </c>
    </row>
    <row r="28" spans="2:4" ht="12.75">
      <c r="B28" t="s">
        <v>481</v>
      </c>
      <c r="C28">
        <v>641190</v>
      </c>
      <c r="D28" t="s">
        <v>483</v>
      </c>
    </row>
    <row r="29" spans="2:4" ht="12.75">
      <c r="B29" t="s">
        <v>481</v>
      </c>
      <c r="C29">
        <v>2684000</v>
      </c>
      <c r="D29" t="s">
        <v>484</v>
      </c>
    </row>
    <row r="30" spans="2:4" ht="12.75">
      <c r="B30" t="s">
        <v>481</v>
      </c>
      <c r="C30">
        <v>641.1</v>
      </c>
      <c r="D30" t="s">
        <v>461</v>
      </c>
    </row>
    <row r="31" spans="2:4" ht="12.75">
      <c r="B31" t="s">
        <v>481</v>
      </c>
      <c r="C31">
        <v>273700</v>
      </c>
      <c r="D31" t="s">
        <v>462</v>
      </c>
    </row>
    <row r="32" spans="2:4" ht="12.75">
      <c r="B32" t="s">
        <v>481</v>
      </c>
      <c r="C32">
        <v>0.7457</v>
      </c>
      <c r="D32" t="s">
        <v>485</v>
      </c>
    </row>
    <row r="35" ht="12.75">
      <c r="B35" t="s">
        <v>486</v>
      </c>
    </row>
    <row r="43" spans="2:4" ht="12.75">
      <c r="B43" t="s">
        <v>487</v>
      </c>
      <c r="C43" t="s">
        <v>488</v>
      </c>
      <c r="D43" t="s">
        <v>489</v>
      </c>
    </row>
    <row r="44" spans="2:4" ht="12.75">
      <c r="B44" t="s">
        <v>490</v>
      </c>
      <c r="C44" s="259">
        <v>10600000000</v>
      </c>
      <c r="D44" t="s">
        <v>459</v>
      </c>
    </row>
    <row r="45" spans="2:4" ht="12.75">
      <c r="B45" t="s">
        <v>490</v>
      </c>
      <c r="C45">
        <v>778.3</v>
      </c>
      <c r="D45" t="s">
        <v>482</v>
      </c>
    </row>
    <row r="46" spans="2:4" ht="12.75">
      <c r="B46" t="s">
        <v>490</v>
      </c>
      <c r="C46">
        <v>252</v>
      </c>
      <c r="D46" t="s">
        <v>483</v>
      </c>
    </row>
    <row r="47" spans="2:4" ht="12.75">
      <c r="B47" t="s">
        <v>490</v>
      </c>
      <c r="C47">
        <v>0.0003931</v>
      </c>
      <c r="D47" t="s">
        <v>491</v>
      </c>
    </row>
    <row r="48" spans="2:4" ht="12.75">
      <c r="B48" t="s">
        <v>492</v>
      </c>
      <c r="C48">
        <v>1059.67</v>
      </c>
      <c r="D48" t="s">
        <v>493</v>
      </c>
    </row>
    <row r="49" spans="2:4" ht="12.75">
      <c r="B49" t="s">
        <v>494</v>
      </c>
      <c r="C49">
        <v>1054.8</v>
      </c>
      <c r="D49" t="s">
        <v>484</v>
      </c>
    </row>
    <row r="50" spans="2:4" ht="12.75">
      <c r="B50" t="s">
        <v>495</v>
      </c>
      <c r="C50">
        <v>1054.68</v>
      </c>
      <c r="D50" t="s">
        <v>484</v>
      </c>
    </row>
    <row r="51" spans="2:4" ht="12.75">
      <c r="B51" t="s">
        <v>496</v>
      </c>
      <c r="C51">
        <v>1055.056</v>
      </c>
      <c r="D51" t="s">
        <v>484</v>
      </c>
    </row>
    <row r="52" spans="2:4" ht="12.75">
      <c r="B52" t="s">
        <v>497</v>
      </c>
      <c r="C52">
        <v>1054.35</v>
      </c>
      <c r="D52" t="s">
        <v>484</v>
      </c>
    </row>
    <row r="53" spans="2:4" ht="12.75">
      <c r="B53" t="s">
        <v>490</v>
      </c>
      <c r="C53">
        <v>0.252</v>
      </c>
      <c r="D53" t="s">
        <v>498</v>
      </c>
    </row>
    <row r="54" spans="2:4" ht="12.75">
      <c r="B54" t="s">
        <v>490</v>
      </c>
      <c r="C54">
        <v>107.5</v>
      </c>
      <c r="D54" t="s">
        <v>499</v>
      </c>
    </row>
    <row r="55" spans="2:4" ht="12.75">
      <c r="B55" t="s">
        <v>490</v>
      </c>
      <c r="C55">
        <v>0.0002928</v>
      </c>
      <c r="D55" t="s">
        <v>485</v>
      </c>
    </row>
    <row r="56" spans="2:4" ht="12.75">
      <c r="B56" t="s">
        <v>500</v>
      </c>
      <c r="C56">
        <v>0.2162</v>
      </c>
      <c r="D56" t="s">
        <v>501</v>
      </c>
    </row>
    <row r="57" spans="2:4" ht="12.75">
      <c r="B57" t="s">
        <v>500</v>
      </c>
      <c r="C57">
        <v>0.07</v>
      </c>
      <c r="D57" t="s">
        <v>502</v>
      </c>
    </row>
    <row r="58" spans="2:4" ht="12.75">
      <c r="B58" t="s">
        <v>500</v>
      </c>
      <c r="C58">
        <v>0.0003929</v>
      </c>
      <c r="D58" t="s">
        <v>491</v>
      </c>
    </row>
    <row r="59" spans="2:4" ht="12.75">
      <c r="B59" t="s">
        <v>503</v>
      </c>
      <c r="C59">
        <v>0.2930711</v>
      </c>
      <c r="D59" t="s">
        <v>475</v>
      </c>
    </row>
    <row r="60" spans="2:4" ht="12.75">
      <c r="B60" t="s">
        <v>504</v>
      </c>
      <c r="C60">
        <v>0.2928751</v>
      </c>
      <c r="D60" t="s">
        <v>475</v>
      </c>
    </row>
    <row r="61" spans="2:4" ht="12.75">
      <c r="B61" t="s">
        <v>505</v>
      </c>
      <c r="C61">
        <v>12.96</v>
      </c>
      <c r="D61" t="s">
        <v>468</v>
      </c>
    </row>
    <row r="62" spans="2:4" ht="12.75">
      <c r="B62" t="s">
        <v>505</v>
      </c>
      <c r="C62">
        <v>0.02356</v>
      </c>
      <c r="D62" t="s">
        <v>470</v>
      </c>
    </row>
    <row r="63" spans="2:4" ht="12.75">
      <c r="B63" t="s">
        <v>505</v>
      </c>
      <c r="C63">
        <v>0.01757</v>
      </c>
      <c r="D63" t="s">
        <v>472</v>
      </c>
    </row>
    <row r="64" spans="2:4" ht="12.75">
      <c r="B64" t="s">
        <v>506</v>
      </c>
      <c r="C64">
        <v>17.5725</v>
      </c>
      <c r="D64" t="s">
        <v>475</v>
      </c>
    </row>
    <row r="65" spans="2:4" ht="12.75">
      <c r="B65" t="s">
        <v>507</v>
      </c>
      <c r="C65">
        <v>1055.056</v>
      </c>
      <c r="D65" t="s">
        <v>475</v>
      </c>
    </row>
    <row r="66" spans="2:4" ht="12.75">
      <c r="B66" t="s">
        <v>508</v>
      </c>
      <c r="C66">
        <v>1054.35</v>
      </c>
      <c r="D66" t="s">
        <v>475</v>
      </c>
    </row>
    <row r="67" spans="2:4" ht="12.75">
      <c r="B67" t="s">
        <v>509</v>
      </c>
      <c r="C67">
        <v>189.1489</v>
      </c>
      <c r="D67" t="s">
        <v>510</v>
      </c>
    </row>
    <row r="68" spans="2:4" ht="12.75">
      <c r="B68" t="s">
        <v>511</v>
      </c>
      <c r="C68">
        <v>11356.53</v>
      </c>
      <c r="D68" t="s">
        <v>510</v>
      </c>
    </row>
    <row r="69" spans="2:4" ht="12.75">
      <c r="B69" t="s">
        <v>512</v>
      </c>
      <c r="C69">
        <v>11348.93</v>
      </c>
      <c r="D69" t="s">
        <v>510</v>
      </c>
    </row>
    <row r="70" spans="2:4" ht="12.75">
      <c r="B70" t="s">
        <v>513</v>
      </c>
      <c r="C70" s="259">
        <v>1634246</v>
      </c>
      <c r="D70" t="s">
        <v>510</v>
      </c>
    </row>
    <row r="71" spans="2:4" ht="12.75">
      <c r="B71" t="s">
        <v>514</v>
      </c>
      <c r="C71">
        <v>1.730735</v>
      </c>
      <c r="D71" t="s">
        <v>515</v>
      </c>
    </row>
    <row r="72" spans="2:4" ht="12.75">
      <c r="B72" t="s">
        <v>516</v>
      </c>
      <c r="C72">
        <v>1.729577</v>
      </c>
      <c r="D72" t="s">
        <v>515</v>
      </c>
    </row>
    <row r="73" spans="2:4" ht="12.75">
      <c r="B73" t="s">
        <v>517</v>
      </c>
      <c r="C73">
        <v>0.1442279</v>
      </c>
      <c r="D73" t="s">
        <v>515</v>
      </c>
    </row>
    <row r="74" spans="2:4" ht="12.75">
      <c r="B74" t="s">
        <v>518</v>
      </c>
      <c r="C74">
        <v>0.1441314</v>
      </c>
      <c r="D74" t="s">
        <v>515</v>
      </c>
    </row>
    <row r="75" spans="2:4" ht="12.75">
      <c r="B75" t="s">
        <v>519</v>
      </c>
      <c r="C75">
        <v>519.2204</v>
      </c>
      <c r="D75" t="s">
        <v>515</v>
      </c>
    </row>
    <row r="76" spans="2:4" ht="12.75">
      <c r="B76" t="s">
        <v>518</v>
      </c>
      <c r="C76">
        <v>518.8732</v>
      </c>
      <c r="D76" t="s">
        <v>515</v>
      </c>
    </row>
    <row r="77" spans="2:4" ht="12.75">
      <c r="B77" t="s">
        <v>520</v>
      </c>
      <c r="C77">
        <v>37258.95</v>
      </c>
      <c r="D77" t="s">
        <v>521</v>
      </c>
    </row>
    <row r="78" spans="2:4" ht="12.75">
      <c r="B78" t="s">
        <v>522</v>
      </c>
      <c r="C78">
        <v>37234.03</v>
      </c>
      <c r="D78" t="s">
        <v>521</v>
      </c>
    </row>
    <row r="79" spans="2:4" ht="12.75">
      <c r="B79" t="s">
        <v>523</v>
      </c>
      <c r="C79">
        <v>1899.101</v>
      </c>
      <c r="D79" t="s">
        <v>524</v>
      </c>
    </row>
    <row r="80" spans="2:4" ht="12.75">
      <c r="B80" t="s">
        <v>525</v>
      </c>
      <c r="C80">
        <v>1897.83</v>
      </c>
      <c r="D80" t="s">
        <v>524</v>
      </c>
    </row>
    <row r="81" spans="2:4" ht="12.75">
      <c r="B81" t="s">
        <v>526</v>
      </c>
      <c r="C81">
        <v>1899.101</v>
      </c>
      <c r="D81" t="s">
        <v>524</v>
      </c>
    </row>
    <row r="82" spans="2:4" ht="12.75">
      <c r="B82" t="s">
        <v>527</v>
      </c>
      <c r="C82">
        <v>1897.83</v>
      </c>
      <c r="D82" t="s">
        <v>524</v>
      </c>
    </row>
    <row r="83" spans="2:4" ht="12.75">
      <c r="B83" t="s">
        <v>528</v>
      </c>
      <c r="C83">
        <v>67066.07</v>
      </c>
      <c r="D83" t="s">
        <v>529</v>
      </c>
    </row>
    <row r="84" spans="2:4" ht="12.75">
      <c r="B84" t="s">
        <v>530</v>
      </c>
      <c r="C84">
        <v>5.678263</v>
      </c>
      <c r="D84" t="s">
        <v>531</v>
      </c>
    </row>
    <row r="85" spans="2:4" ht="12.75">
      <c r="B85" t="s">
        <v>532</v>
      </c>
      <c r="C85">
        <v>5.674466</v>
      </c>
      <c r="D85" t="s">
        <v>531</v>
      </c>
    </row>
    <row r="86" spans="2:4" ht="12.75">
      <c r="B86" t="s">
        <v>533</v>
      </c>
      <c r="C86">
        <v>20441.75</v>
      </c>
      <c r="D86" t="s">
        <v>531</v>
      </c>
    </row>
    <row r="87" spans="2:4" ht="12.75">
      <c r="B87" t="s">
        <v>534</v>
      </c>
      <c r="C87">
        <v>20428.08</v>
      </c>
      <c r="D87" t="s">
        <v>531</v>
      </c>
    </row>
    <row r="88" spans="2:4" ht="12.75">
      <c r="B88" t="s">
        <v>535</v>
      </c>
      <c r="C88">
        <v>2326</v>
      </c>
      <c r="D88" t="s">
        <v>536</v>
      </c>
    </row>
    <row r="89" spans="2:4" ht="12.75">
      <c r="B89" t="s">
        <v>537</v>
      </c>
      <c r="C89">
        <v>2324.444</v>
      </c>
      <c r="D89" t="s">
        <v>536</v>
      </c>
    </row>
    <row r="90" spans="2:4" ht="12.75">
      <c r="B90" t="s">
        <v>535</v>
      </c>
      <c r="C90">
        <v>0.64616</v>
      </c>
      <c r="D90" t="s">
        <v>538</v>
      </c>
    </row>
    <row r="91" spans="2:4" ht="12.75">
      <c r="B91" t="s">
        <v>535</v>
      </c>
      <c r="C91">
        <v>0.55498</v>
      </c>
      <c r="D91" t="s">
        <v>539</v>
      </c>
    </row>
    <row r="92" spans="2:4" ht="12.75">
      <c r="B92" t="s">
        <v>540</v>
      </c>
      <c r="C92">
        <v>4186.8</v>
      </c>
      <c r="D92" t="s">
        <v>541</v>
      </c>
    </row>
    <row r="93" spans="2:4" ht="12.75">
      <c r="B93" t="s">
        <v>542</v>
      </c>
      <c r="C93">
        <v>4184</v>
      </c>
      <c r="D93" t="s">
        <v>541</v>
      </c>
    </row>
    <row r="94" spans="2:4" ht="12.75">
      <c r="B94" t="s">
        <v>543</v>
      </c>
      <c r="C94">
        <v>4186.8</v>
      </c>
      <c r="D94" t="s">
        <v>541</v>
      </c>
    </row>
    <row r="95" spans="2:4" ht="12.75">
      <c r="B95" t="s">
        <v>544</v>
      </c>
      <c r="C95">
        <v>4184</v>
      </c>
      <c r="D95" t="s">
        <v>541</v>
      </c>
    </row>
    <row r="96" spans="2:4" ht="12.75">
      <c r="B96" t="s">
        <v>545</v>
      </c>
      <c r="C96">
        <v>11356.53</v>
      </c>
      <c r="D96" t="s">
        <v>546</v>
      </c>
    </row>
    <row r="97" spans="2:4" ht="12.75">
      <c r="B97" t="s">
        <v>547</v>
      </c>
      <c r="C97">
        <v>11348.93</v>
      </c>
      <c r="D97" t="s">
        <v>546</v>
      </c>
    </row>
    <row r="98" spans="2:4" ht="12.75">
      <c r="B98" t="s">
        <v>548</v>
      </c>
      <c r="C98">
        <v>3.154591</v>
      </c>
      <c r="D98" t="s">
        <v>549</v>
      </c>
    </row>
    <row r="99" spans="2:4" ht="12.75">
      <c r="B99" t="s">
        <v>550</v>
      </c>
      <c r="C99">
        <v>3.152481</v>
      </c>
      <c r="D99" t="s">
        <v>549</v>
      </c>
    </row>
    <row r="100" spans="2:4" ht="12.75">
      <c r="B100" t="s">
        <v>551</v>
      </c>
      <c r="C100" t="s">
        <v>551</v>
      </c>
      <c r="D100" t="s">
        <v>552</v>
      </c>
    </row>
    <row r="101" spans="2:4" ht="12.75">
      <c r="B101" t="s">
        <v>553</v>
      </c>
      <c r="C101">
        <v>0.00396832</v>
      </c>
      <c r="D101" t="s">
        <v>554</v>
      </c>
    </row>
    <row r="102" spans="2:4" ht="12.75">
      <c r="B102" t="s">
        <v>551</v>
      </c>
      <c r="C102" t="s">
        <v>551</v>
      </c>
      <c r="D102" t="s">
        <v>552</v>
      </c>
    </row>
    <row r="103" spans="2:4" ht="12.75">
      <c r="B103" t="s">
        <v>555</v>
      </c>
      <c r="C103" s="259">
        <v>9.48E-11</v>
      </c>
      <c r="D103" t="s">
        <v>457</v>
      </c>
    </row>
    <row r="104" spans="2:4" ht="12.75">
      <c r="B104" t="s">
        <v>556</v>
      </c>
      <c r="C104" s="259">
        <v>5.69E-06</v>
      </c>
      <c r="D104" t="s">
        <v>465</v>
      </c>
    </row>
    <row r="105" spans="2:4" ht="12.75">
      <c r="B105" t="s">
        <v>551</v>
      </c>
      <c r="C105" t="s">
        <v>551</v>
      </c>
      <c r="D105" t="s">
        <v>552</v>
      </c>
    </row>
    <row r="106" spans="2:4" ht="12.75">
      <c r="B106" t="s">
        <v>557</v>
      </c>
      <c r="C106">
        <v>0.001286</v>
      </c>
      <c r="D106" t="s">
        <v>457</v>
      </c>
    </row>
    <row r="107" spans="2:4" ht="12.75">
      <c r="B107" t="s">
        <v>558</v>
      </c>
      <c r="C107">
        <v>0.001286</v>
      </c>
      <c r="D107" t="s">
        <v>465</v>
      </c>
    </row>
    <row r="108" spans="2:4" ht="12.75">
      <c r="B108" t="s">
        <v>559</v>
      </c>
      <c r="C108">
        <v>4.6263</v>
      </c>
      <c r="D108" t="s">
        <v>474</v>
      </c>
    </row>
    <row r="109" spans="2:4" ht="12.75">
      <c r="B109" t="s">
        <v>559</v>
      </c>
      <c r="C109">
        <v>0.07717</v>
      </c>
      <c r="D109" t="s">
        <v>465</v>
      </c>
    </row>
    <row r="110" spans="2:4" ht="12.75">
      <c r="B110" t="s">
        <v>551</v>
      </c>
      <c r="C110" t="s">
        <v>551</v>
      </c>
      <c r="D110" t="s">
        <v>552</v>
      </c>
    </row>
    <row r="111" spans="2:4" ht="12.75">
      <c r="B111" t="s">
        <v>560</v>
      </c>
      <c r="C111">
        <v>0.0039683</v>
      </c>
      <c r="D111" t="s">
        <v>457</v>
      </c>
    </row>
    <row r="112" spans="2:4" ht="12.75">
      <c r="B112" t="s">
        <v>561</v>
      </c>
      <c r="C112">
        <v>14.286</v>
      </c>
      <c r="D112" t="s">
        <v>474</v>
      </c>
    </row>
    <row r="113" spans="2:4" ht="12.75">
      <c r="B113" t="s">
        <v>560</v>
      </c>
      <c r="C113" s="259">
        <v>9.3E-08</v>
      </c>
      <c r="D113" t="s">
        <v>457</v>
      </c>
    </row>
    <row r="114" spans="2:4" ht="12.75">
      <c r="B114" t="s">
        <v>551</v>
      </c>
      <c r="C114" t="s">
        <v>551</v>
      </c>
      <c r="D114" t="s">
        <v>552</v>
      </c>
    </row>
    <row r="115" spans="2:4" ht="12.75">
      <c r="B115" t="s">
        <v>466</v>
      </c>
      <c r="C115">
        <v>42.44</v>
      </c>
      <c r="D115" t="s">
        <v>465</v>
      </c>
    </row>
    <row r="116" spans="2:4" ht="12.75">
      <c r="B116" t="s">
        <v>473</v>
      </c>
      <c r="C116">
        <v>33479</v>
      </c>
      <c r="D116" t="s">
        <v>474</v>
      </c>
    </row>
    <row r="117" spans="2:4" ht="12.75">
      <c r="B117" t="s">
        <v>481</v>
      </c>
      <c r="C117">
        <v>2547</v>
      </c>
      <c r="D117" t="s">
        <v>457</v>
      </c>
    </row>
    <row r="118" spans="2:4" ht="12.75">
      <c r="B118" t="s">
        <v>551</v>
      </c>
      <c r="C118" t="s">
        <v>551</v>
      </c>
      <c r="D118" t="s">
        <v>552</v>
      </c>
    </row>
    <row r="119" spans="2:4" ht="12.75">
      <c r="B119" t="s">
        <v>458</v>
      </c>
      <c r="C119" s="259">
        <v>0.000948</v>
      </c>
      <c r="D119" t="s">
        <v>457</v>
      </c>
    </row>
    <row r="120" spans="2:4" ht="12.75">
      <c r="B120" t="s">
        <v>551</v>
      </c>
      <c r="C120" t="s">
        <v>551</v>
      </c>
      <c r="D120" t="s">
        <v>552</v>
      </c>
    </row>
    <row r="121" spans="2:4" ht="12.75">
      <c r="B121" t="s">
        <v>562</v>
      </c>
      <c r="C121">
        <v>3.968</v>
      </c>
      <c r="D121" t="s">
        <v>457</v>
      </c>
    </row>
    <row r="122" spans="2:4" ht="12.75">
      <c r="B122" t="s">
        <v>563</v>
      </c>
      <c r="C122" s="259">
        <v>0.00929</v>
      </c>
      <c r="D122" t="s">
        <v>457</v>
      </c>
    </row>
    <row r="123" spans="2:4" ht="12.75">
      <c r="B123" t="s">
        <v>564</v>
      </c>
      <c r="C123">
        <v>56.92</v>
      </c>
      <c r="D123" t="s">
        <v>465</v>
      </c>
    </row>
    <row r="124" spans="2:4" ht="12.75">
      <c r="B124" t="s">
        <v>565</v>
      </c>
      <c r="C124" s="260">
        <v>3413</v>
      </c>
      <c r="D124" t="s">
        <v>457</v>
      </c>
    </row>
    <row r="125" spans="2:4" ht="12.75">
      <c r="B125" t="s">
        <v>551</v>
      </c>
      <c r="C125" t="s">
        <v>551</v>
      </c>
      <c r="D125" t="s">
        <v>552</v>
      </c>
    </row>
    <row r="126" spans="2:4" ht="12.75">
      <c r="B126" t="s">
        <v>566</v>
      </c>
      <c r="C126">
        <v>12000</v>
      </c>
      <c r="D126" t="s">
        <v>567</v>
      </c>
    </row>
    <row r="127" spans="2:4" ht="12.75">
      <c r="B127" t="s">
        <v>551</v>
      </c>
      <c r="C127" t="s">
        <v>551</v>
      </c>
      <c r="D127" t="s">
        <v>552</v>
      </c>
    </row>
    <row r="128" spans="2:4" ht="12.75">
      <c r="B128" t="s">
        <v>568</v>
      </c>
      <c r="C128">
        <v>3.4129</v>
      </c>
      <c r="D128" t="s">
        <v>474</v>
      </c>
    </row>
    <row r="129" spans="2:4" ht="12.75">
      <c r="B129" t="s">
        <v>568</v>
      </c>
      <c r="C129">
        <v>0.05688</v>
      </c>
      <c r="D129" t="s">
        <v>465</v>
      </c>
    </row>
    <row r="130" spans="2:4" ht="12.75">
      <c r="B130" t="s">
        <v>569</v>
      </c>
      <c r="C130">
        <v>0.056884</v>
      </c>
      <c r="D130" t="s">
        <v>570</v>
      </c>
    </row>
    <row r="131" spans="2:4" ht="12.75">
      <c r="B131" t="s">
        <v>571</v>
      </c>
      <c r="C131">
        <v>3.413</v>
      </c>
      <c r="D131" t="s">
        <v>457</v>
      </c>
    </row>
    <row r="132" spans="2:4" ht="12.75">
      <c r="B132" t="s">
        <v>572</v>
      </c>
      <c r="C132" t="s">
        <v>573</v>
      </c>
      <c r="D132" t="s">
        <v>574</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Ecotopia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Swenson</dc:creator>
  <cp:keywords/>
  <dc:description/>
  <cp:lastModifiedBy>rbs</cp:lastModifiedBy>
  <cp:lastPrinted>2006-08-02T16:53:58Z</cp:lastPrinted>
  <dcterms:created xsi:type="dcterms:W3CDTF">2006-04-29T22:33:09Z</dcterms:created>
  <dcterms:modified xsi:type="dcterms:W3CDTF">2006-08-03T04:43:39Z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